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Наталья Боднева\Desktop\ДФ\"/>
    </mc:Choice>
  </mc:AlternateContent>
  <xr:revisionPtr revIDLastSave="0" documentId="13_ncr:1_{133E5C1E-7C77-45A6-BBC6-138ABE9C57C5}" xr6:coauthVersionLast="40" xr6:coauthVersionMax="40" xr10:uidLastSave="{00000000-0000-0000-0000-000000000000}"/>
  <bookViews>
    <workbookView xWindow="-120" yWindow="-120" windowWidth="20730" windowHeight="11160" activeTab="1" xr2:uid="{00000000-000D-0000-FFFF-FFFF00000000}"/>
  </bookViews>
  <sheets>
    <sheet name="КУБ" sheetId="6" r:id="rId1"/>
    <sheet name="Отчет" sheetId="4" r:id="rId2"/>
  </sheets>
  <definedNames>
    <definedName name="_xlnm._FilterDatabase" localSheetId="1" hidden="1">Отчет!$A$10:$W$63</definedName>
  </definedNames>
  <calcPr calcId="191029"/>
  <pivotCaches>
    <pivotCache cacheId="28" r:id="rId3"/>
    <pivotCache cacheId="29" r:id="rId4"/>
    <pivotCache cacheId="30" r:id="rId5"/>
    <pivotCache cacheId="31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C56" i="4" l="1"/>
  <c r="D56" i="4" l="1"/>
  <c r="E56" i="4" l="1"/>
  <c r="R56" i="4"/>
  <c r="G56" i="4"/>
  <c r="U56" i="4"/>
  <c r="V56" i="4"/>
  <c r="S56" i="4"/>
  <c r="T56" i="4"/>
  <c r="J56" i="4"/>
  <c r="H9" i="4"/>
  <c r="I9" i="4"/>
  <c r="C51" i="4" l="1"/>
  <c r="D51" i="4" l="1"/>
  <c r="C62" i="4"/>
  <c r="C58" i="4"/>
  <c r="J51" i="4" l="1"/>
  <c r="E51" i="4"/>
  <c r="R51" i="4"/>
  <c r="G51" i="4"/>
  <c r="T51" i="4"/>
  <c r="S51" i="4"/>
  <c r="U51" i="4"/>
  <c r="V51" i="4"/>
  <c r="D62" i="4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8" i="6"/>
  <c r="E62" i="4" l="1"/>
  <c r="R62" i="4"/>
  <c r="U62" i="4"/>
  <c r="V62" i="4"/>
  <c r="S62" i="4"/>
  <c r="T62" i="4"/>
  <c r="G62" i="4"/>
  <c r="J62" i="4"/>
  <c r="W56" i="4" l="1"/>
  <c r="W51" i="4"/>
  <c r="W62" i="4"/>
  <c r="L62" i="4"/>
  <c r="C21" i="4"/>
  <c r="C35" i="4"/>
  <c r="C60" i="4"/>
  <c r="C46" i="4"/>
  <c r="C18" i="4"/>
  <c r="C48" i="4"/>
  <c r="C55" i="4"/>
  <c r="C34" i="4"/>
  <c r="C24" i="4"/>
  <c r="C32" i="4"/>
  <c r="C37" i="4"/>
  <c r="C36" i="4"/>
  <c r="C39" i="4"/>
  <c r="C31" i="4"/>
  <c r="C57" i="4"/>
  <c r="C43" i="4"/>
  <c r="C28" i="4"/>
  <c r="C52" i="4"/>
  <c r="C47" i="4"/>
  <c r="C26" i="4"/>
  <c r="C61" i="4"/>
  <c r="C33" i="4"/>
  <c r="C54" i="4"/>
  <c r="C17" i="4"/>
  <c r="C23" i="4"/>
  <c r="C63" i="4"/>
  <c r="C16" i="4"/>
  <c r="C50" i="4"/>
  <c r="C40" i="4"/>
  <c r="C14" i="4"/>
  <c r="C30" i="4"/>
  <c r="C27" i="4"/>
  <c r="C45" i="4"/>
  <c r="C59" i="4"/>
  <c r="C22" i="4"/>
  <c r="C20" i="4"/>
  <c r="C19" i="4"/>
  <c r="C53" i="4"/>
  <c r="C38" i="4"/>
  <c r="C41" i="4"/>
  <c r="C44" i="4"/>
  <c r="C29" i="4"/>
  <c r="C49" i="4"/>
  <c r="C15" i="4"/>
  <c r="C11" i="4"/>
  <c r="C12" i="4"/>
  <c r="C13" i="4"/>
  <c r="C25" i="4"/>
  <c r="C42" i="4"/>
  <c r="L56" i="4" l="1"/>
  <c r="F56" i="4"/>
  <c r="D37" i="4"/>
  <c r="L51" i="4"/>
  <c r="F51" i="4"/>
  <c r="F62" i="4"/>
  <c r="M62" i="4" s="1"/>
  <c r="D49" i="4"/>
  <c r="D22" i="4"/>
  <c r="D30" i="4"/>
  <c r="D16" i="4"/>
  <c r="D54" i="4"/>
  <c r="D58" i="4"/>
  <c r="D43" i="4"/>
  <c r="D36" i="4"/>
  <c r="D34" i="4"/>
  <c r="D46" i="4"/>
  <c r="D12" i="4"/>
  <c r="D29" i="4"/>
  <c r="D53" i="4"/>
  <c r="D59" i="4"/>
  <c r="D14" i="4"/>
  <c r="D63" i="4"/>
  <c r="D33" i="4"/>
  <c r="D47" i="4"/>
  <c r="D57" i="4"/>
  <c r="G37" i="4"/>
  <c r="D55" i="4"/>
  <c r="D60" i="4"/>
  <c r="D38" i="4"/>
  <c r="D11" i="4"/>
  <c r="D44" i="4"/>
  <c r="D19" i="4"/>
  <c r="D45" i="4"/>
  <c r="D40" i="4"/>
  <c r="D23" i="4"/>
  <c r="D61" i="4"/>
  <c r="D52" i="4"/>
  <c r="D31" i="4"/>
  <c r="D32" i="4"/>
  <c r="D48" i="4"/>
  <c r="D35" i="4"/>
  <c r="D13" i="4"/>
  <c r="D42" i="4"/>
  <c r="D25" i="4"/>
  <c r="D15" i="4"/>
  <c r="D41" i="4"/>
  <c r="D20" i="4"/>
  <c r="D27" i="4"/>
  <c r="D50" i="4"/>
  <c r="D17" i="4"/>
  <c r="D26" i="4"/>
  <c r="D28" i="4"/>
  <c r="D39" i="4"/>
  <c r="D24" i="4"/>
  <c r="D18" i="4"/>
  <c r="D21" i="4"/>
  <c r="E34" i="4" l="1"/>
  <c r="R34" i="4"/>
  <c r="E36" i="4"/>
  <c r="R36" i="4"/>
  <c r="R58" i="4"/>
  <c r="E58" i="4"/>
  <c r="E54" i="4"/>
  <c r="R54" i="4"/>
  <c r="E16" i="4"/>
  <c r="R16" i="4"/>
  <c r="R20" i="4"/>
  <c r="E20" i="4"/>
  <c r="R30" i="4"/>
  <c r="E30" i="4"/>
  <c r="R17" i="4"/>
  <c r="E17" i="4"/>
  <c r="E44" i="4"/>
  <c r="R44" i="4"/>
  <c r="G22" i="4"/>
  <c r="R22" i="4"/>
  <c r="E22" i="4"/>
  <c r="E60" i="4"/>
  <c r="R60" i="4"/>
  <c r="R42" i="4"/>
  <c r="E42" i="4"/>
  <c r="R57" i="4"/>
  <c r="E57" i="4"/>
  <c r="E49" i="4"/>
  <c r="R49" i="4"/>
  <c r="R12" i="4"/>
  <c r="E12" i="4"/>
  <c r="E33" i="4"/>
  <c r="R33" i="4"/>
  <c r="R26" i="4"/>
  <c r="E26" i="4"/>
  <c r="E11" i="4"/>
  <c r="R11" i="4"/>
  <c r="E63" i="4"/>
  <c r="R63" i="4"/>
  <c r="R41" i="4"/>
  <c r="E41" i="4"/>
  <c r="E47" i="4"/>
  <c r="R47" i="4"/>
  <c r="R14" i="4"/>
  <c r="E14" i="4"/>
  <c r="E40" i="4"/>
  <c r="R40" i="4"/>
  <c r="E45" i="4"/>
  <c r="R45" i="4"/>
  <c r="R43" i="4"/>
  <c r="E43" i="4"/>
  <c r="E21" i="4"/>
  <c r="R21" i="4"/>
  <c r="E37" i="4"/>
  <c r="R37" i="4"/>
  <c r="R50" i="4"/>
  <c r="E50" i="4"/>
  <c r="E27" i="4"/>
  <c r="R27" i="4"/>
  <c r="E38" i="4"/>
  <c r="R38" i="4"/>
  <c r="E55" i="4"/>
  <c r="R55" i="4"/>
  <c r="E13" i="4"/>
  <c r="R13" i="4"/>
  <c r="R48" i="4"/>
  <c r="E48" i="4"/>
  <c r="R18" i="4"/>
  <c r="E18" i="4"/>
  <c r="E24" i="4"/>
  <c r="R24" i="4"/>
  <c r="E61" i="4"/>
  <c r="R61" i="4"/>
  <c r="J53" i="4"/>
  <c r="R53" i="4"/>
  <c r="E53" i="4"/>
  <c r="R46" i="4"/>
  <c r="E46" i="4"/>
  <c r="R19" i="4"/>
  <c r="E19" i="4"/>
  <c r="R15" i="4"/>
  <c r="E15" i="4"/>
  <c r="E25" i="4"/>
  <c r="R25" i="4"/>
  <c r="E35" i="4"/>
  <c r="R35" i="4"/>
  <c r="R32" i="4"/>
  <c r="E32" i="4"/>
  <c r="R31" i="4"/>
  <c r="E31" i="4"/>
  <c r="E52" i="4"/>
  <c r="R52" i="4"/>
  <c r="R59" i="4"/>
  <c r="E59" i="4"/>
  <c r="E39" i="4"/>
  <c r="R39" i="4"/>
  <c r="R28" i="4"/>
  <c r="E28" i="4"/>
  <c r="R23" i="4"/>
  <c r="E23" i="4"/>
  <c r="R29" i="4"/>
  <c r="E29" i="4"/>
  <c r="M56" i="4"/>
  <c r="Q56" i="4"/>
  <c r="K56" i="4"/>
  <c r="G21" i="4"/>
  <c r="T21" i="4"/>
  <c r="U21" i="4"/>
  <c r="S21" i="4"/>
  <c r="V21" i="4"/>
  <c r="W21" i="4" s="1"/>
  <c r="G24" i="4"/>
  <c r="T24" i="4"/>
  <c r="S24" i="4"/>
  <c r="V24" i="4"/>
  <c r="W24" i="4" s="1"/>
  <c r="U24" i="4"/>
  <c r="J28" i="4"/>
  <c r="U28" i="4"/>
  <c r="T28" i="4"/>
  <c r="S28" i="4"/>
  <c r="V28" i="4"/>
  <c r="J27" i="4"/>
  <c r="U27" i="4"/>
  <c r="V27" i="4"/>
  <c r="S27" i="4"/>
  <c r="T27" i="4"/>
  <c r="J25" i="4"/>
  <c r="V25" i="4"/>
  <c r="T25" i="4"/>
  <c r="S25" i="4"/>
  <c r="U25" i="4"/>
  <c r="J13" i="4"/>
  <c r="U13" i="4"/>
  <c r="V13" i="4"/>
  <c r="S13" i="4"/>
  <c r="T13" i="4"/>
  <c r="G31" i="4"/>
  <c r="U31" i="4"/>
  <c r="V31" i="4"/>
  <c r="S31" i="4"/>
  <c r="T31" i="4"/>
  <c r="J40" i="4"/>
  <c r="V40" i="4"/>
  <c r="T40" i="4"/>
  <c r="S40" i="4"/>
  <c r="U40" i="4"/>
  <c r="J19" i="4"/>
  <c r="T19" i="4"/>
  <c r="U19" i="4"/>
  <c r="V19" i="4"/>
  <c r="S19" i="4"/>
  <c r="J11" i="4"/>
  <c r="L11" i="4" s="1"/>
  <c r="V11" i="4"/>
  <c r="W11" i="4" s="1"/>
  <c r="T11" i="4"/>
  <c r="S11" i="4"/>
  <c r="U11" i="4"/>
  <c r="J63" i="4"/>
  <c r="T63" i="4"/>
  <c r="U63" i="4"/>
  <c r="S63" i="4"/>
  <c r="V63" i="4"/>
  <c r="G12" i="4"/>
  <c r="T12" i="4"/>
  <c r="S12" i="4"/>
  <c r="J12" i="4"/>
  <c r="V12" i="4"/>
  <c r="U12" i="4"/>
  <c r="J34" i="4"/>
  <c r="L34" i="4" s="1"/>
  <c r="V34" i="4"/>
  <c r="W34" i="4" s="1"/>
  <c r="T34" i="4"/>
  <c r="U34" i="4"/>
  <c r="S34" i="4"/>
  <c r="G43" i="4"/>
  <c r="U43" i="4"/>
  <c r="V43" i="4"/>
  <c r="S43" i="4"/>
  <c r="T43" i="4"/>
  <c r="G54" i="4"/>
  <c r="U54" i="4"/>
  <c r="V54" i="4"/>
  <c r="S54" i="4"/>
  <c r="T54" i="4"/>
  <c r="G30" i="4"/>
  <c r="T30" i="4"/>
  <c r="S30" i="4"/>
  <c r="U30" i="4"/>
  <c r="V30" i="4"/>
  <c r="W30" i="4" s="1"/>
  <c r="G49" i="4"/>
  <c r="V49" i="4"/>
  <c r="T49" i="4"/>
  <c r="S49" i="4"/>
  <c r="U49" i="4"/>
  <c r="J18" i="4"/>
  <c r="F18" i="4" s="1"/>
  <c r="V18" i="4"/>
  <c r="T18" i="4"/>
  <c r="S18" i="4"/>
  <c r="U18" i="4"/>
  <c r="G39" i="4"/>
  <c r="T39" i="4"/>
  <c r="S39" i="4"/>
  <c r="U39" i="4"/>
  <c r="V39" i="4"/>
  <c r="W39" i="4" s="1"/>
  <c r="J26" i="4"/>
  <c r="L26" i="4" s="1"/>
  <c r="V26" i="4"/>
  <c r="T26" i="4"/>
  <c r="S26" i="4"/>
  <c r="U26" i="4"/>
  <c r="G50" i="4"/>
  <c r="V50" i="4"/>
  <c r="T50" i="4"/>
  <c r="S50" i="4"/>
  <c r="U50" i="4"/>
  <c r="G20" i="4"/>
  <c r="U20" i="4"/>
  <c r="V20" i="4"/>
  <c r="S20" i="4"/>
  <c r="T20" i="4"/>
  <c r="J15" i="4"/>
  <c r="U15" i="4"/>
  <c r="T15" i="4"/>
  <c r="V15" i="4"/>
  <c r="S15" i="4"/>
  <c r="G42" i="4"/>
  <c r="T42" i="4"/>
  <c r="S42" i="4"/>
  <c r="U42" i="4"/>
  <c r="V42" i="4"/>
  <c r="J35" i="4"/>
  <c r="T35" i="4"/>
  <c r="S35" i="4"/>
  <c r="V35" i="4"/>
  <c r="W35" i="4" s="1"/>
  <c r="U35" i="4"/>
  <c r="J32" i="4"/>
  <c r="F32" i="4" s="1"/>
  <c r="V32" i="4"/>
  <c r="W32" i="4" s="1"/>
  <c r="T32" i="4"/>
  <c r="S32" i="4"/>
  <c r="U32" i="4"/>
  <c r="J52" i="4"/>
  <c r="F52" i="4" s="1"/>
  <c r="T52" i="4"/>
  <c r="S52" i="4"/>
  <c r="U52" i="4"/>
  <c r="V52" i="4"/>
  <c r="J23" i="4"/>
  <c r="T23" i="4"/>
  <c r="S23" i="4"/>
  <c r="V23" i="4"/>
  <c r="U23" i="4"/>
  <c r="J45" i="4"/>
  <c r="U45" i="4"/>
  <c r="V45" i="4"/>
  <c r="S45" i="4"/>
  <c r="T45" i="4"/>
  <c r="J44" i="4"/>
  <c r="V44" i="4"/>
  <c r="W44" i="4" s="1"/>
  <c r="T44" i="4"/>
  <c r="S44" i="4"/>
  <c r="U44" i="4"/>
  <c r="G38" i="4"/>
  <c r="U38" i="4"/>
  <c r="V38" i="4"/>
  <c r="S38" i="4"/>
  <c r="T38" i="4"/>
  <c r="J55" i="4"/>
  <c r="T55" i="4"/>
  <c r="S55" i="4"/>
  <c r="U55" i="4"/>
  <c r="V55" i="4"/>
  <c r="J57" i="4"/>
  <c r="L57" i="4" s="1"/>
  <c r="V57" i="4"/>
  <c r="W57" i="4" s="1"/>
  <c r="T57" i="4"/>
  <c r="S57" i="4"/>
  <c r="U57" i="4"/>
  <c r="J33" i="4"/>
  <c r="L33" i="4" s="1"/>
  <c r="U33" i="4"/>
  <c r="V33" i="4"/>
  <c r="S33" i="4"/>
  <c r="T33" i="4"/>
  <c r="J14" i="4"/>
  <c r="V14" i="4"/>
  <c r="T14" i="4"/>
  <c r="U14" i="4"/>
  <c r="S14" i="4"/>
  <c r="G53" i="4"/>
  <c r="T53" i="4"/>
  <c r="U53" i="4"/>
  <c r="V53" i="4"/>
  <c r="W53" i="4" s="1"/>
  <c r="S53" i="4"/>
  <c r="G17" i="4"/>
  <c r="U17" i="4"/>
  <c r="V17" i="4"/>
  <c r="W17" i="4" s="1"/>
  <c r="S17" i="4"/>
  <c r="T17" i="4"/>
  <c r="G41" i="4"/>
  <c r="T41" i="4"/>
  <c r="U41" i="4"/>
  <c r="V41" i="4"/>
  <c r="W41" i="4" s="1"/>
  <c r="S41" i="4"/>
  <c r="J48" i="4"/>
  <c r="T48" i="4"/>
  <c r="S48" i="4"/>
  <c r="U48" i="4"/>
  <c r="V48" i="4"/>
  <c r="G61" i="4"/>
  <c r="T61" i="4"/>
  <c r="S61" i="4"/>
  <c r="U61" i="4"/>
  <c r="V61" i="4"/>
  <c r="W61" i="4" s="1"/>
  <c r="J60" i="4"/>
  <c r="T60" i="4"/>
  <c r="U60" i="4"/>
  <c r="V60" i="4"/>
  <c r="S60" i="4"/>
  <c r="J47" i="4"/>
  <c r="T47" i="4"/>
  <c r="U47" i="4"/>
  <c r="V47" i="4"/>
  <c r="W47" i="4" s="1"/>
  <c r="S47" i="4"/>
  <c r="G59" i="4"/>
  <c r="T59" i="4"/>
  <c r="S59" i="4"/>
  <c r="U59" i="4"/>
  <c r="V59" i="4"/>
  <c r="W59" i="4" s="1"/>
  <c r="G29" i="4"/>
  <c r="U29" i="4"/>
  <c r="V29" i="4"/>
  <c r="S29" i="4"/>
  <c r="T29" i="4"/>
  <c r="G19" i="4"/>
  <c r="J46" i="4"/>
  <c r="T46" i="4"/>
  <c r="S46" i="4"/>
  <c r="U46" i="4"/>
  <c r="V46" i="4"/>
  <c r="W46" i="4" s="1"/>
  <c r="G36" i="4"/>
  <c r="V36" i="4"/>
  <c r="W36" i="4" s="1"/>
  <c r="T36" i="4"/>
  <c r="S36" i="4"/>
  <c r="U36" i="4"/>
  <c r="J58" i="4"/>
  <c r="L58" i="4" s="1"/>
  <c r="T58" i="4"/>
  <c r="S58" i="4"/>
  <c r="U58" i="4"/>
  <c r="V58" i="4"/>
  <c r="G16" i="4"/>
  <c r="T16" i="4"/>
  <c r="S16" i="4"/>
  <c r="V16" i="4"/>
  <c r="U16" i="4"/>
  <c r="J22" i="4"/>
  <c r="F22" i="4" s="1"/>
  <c r="Q22" i="4" s="1"/>
  <c r="T22" i="4"/>
  <c r="S22" i="4"/>
  <c r="U22" i="4"/>
  <c r="V22" i="4"/>
  <c r="W22" i="4" s="1"/>
  <c r="T37" i="4"/>
  <c r="S37" i="4"/>
  <c r="U37" i="4"/>
  <c r="V37" i="4"/>
  <c r="W37" i="4" s="1"/>
  <c r="G44" i="4"/>
  <c r="J54" i="4"/>
  <c r="J49" i="4"/>
  <c r="J38" i="4"/>
  <c r="G32" i="4"/>
  <c r="J20" i="4"/>
  <c r="G33" i="4"/>
  <c r="G34" i="4"/>
  <c r="G23" i="4"/>
  <c r="G14" i="4"/>
  <c r="K62" i="4"/>
  <c r="Q62" i="4"/>
  <c r="M51" i="4"/>
  <c r="Q51" i="4"/>
  <c r="K51" i="4"/>
  <c r="J42" i="4"/>
  <c r="F42" i="4" s="1"/>
  <c r="J43" i="4"/>
  <c r="G35" i="4"/>
  <c r="G60" i="4"/>
  <c r="G55" i="4"/>
  <c r="G52" i="4"/>
  <c r="J30" i="4"/>
  <c r="G57" i="4"/>
  <c r="G45" i="4"/>
  <c r="J31" i="4"/>
  <c r="J50" i="4"/>
  <c r="L50" i="4" s="1"/>
  <c r="J37" i="4"/>
  <c r="F37" i="4" s="1"/>
  <c r="Q37" i="4" s="1"/>
  <c r="G58" i="4"/>
  <c r="J16" i="4"/>
  <c r="F16" i="4" s="1"/>
  <c r="G48" i="4"/>
  <c r="G18" i="4"/>
  <c r="L63" i="4"/>
  <c r="G15" i="4"/>
  <c r="G63" i="4"/>
  <c r="J36" i="4"/>
  <c r="J29" i="4"/>
  <c r="G11" i="4"/>
  <c r="J59" i="4"/>
  <c r="G46" i="4"/>
  <c r="J21" i="4"/>
  <c r="G47" i="4"/>
  <c r="J17" i="4"/>
  <c r="J24" i="4"/>
  <c r="J41" i="4"/>
  <c r="G28" i="4"/>
  <c r="G25" i="4"/>
  <c r="G27" i="4"/>
  <c r="G40" i="4"/>
  <c r="J61" i="4"/>
  <c r="G26" i="4"/>
  <c r="J39" i="4"/>
  <c r="G13" i="4"/>
  <c r="F35" i="4" l="1"/>
  <c r="F53" i="4"/>
  <c r="F27" i="4"/>
  <c r="F60" i="4"/>
  <c r="W15" i="4"/>
  <c r="F47" i="4"/>
  <c r="W60" i="4"/>
  <c r="F38" i="4"/>
  <c r="Q38" i="4" s="1"/>
  <c r="F20" i="4"/>
  <c r="Q20" i="4" s="1"/>
  <c r="L53" i="4"/>
  <c r="W55" i="4"/>
  <c r="W54" i="4"/>
  <c r="W42" i="4"/>
  <c r="F54" i="4"/>
  <c r="Q54" i="4" s="1"/>
  <c r="W19" i="4"/>
  <c r="W16" i="4"/>
  <c r="W14" i="4"/>
  <c r="L46" i="4"/>
  <c r="W20" i="4"/>
  <c r="F63" i="4"/>
  <c r="M63" i="4" s="1"/>
  <c r="R9" i="4"/>
  <c r="L35" i="4"/>
  <c r="W48" i="4"/>
  <c r="F19" i="4"/>
  <c r="L15" i="4"/>
  <c r="F45" i="4"/>
  <c r="Q45" i="4" s="1"/>
  <c r="F55" i="4"/>
  <c r="Q55" i="4" s="1"/>
  <c r="W13" i="4"/>
  <c r="W38" i="4"/>
  <c r="L12" i="4"/>
  <c r="F14" i="4"/>
  <c r="K14" i="4" s="1"/>
  <c r="F30" i="4"/>
  <c r="K30" i="4" s="1"/>
  <c r="F49" i="4"/>
  <c r="K49" i="4" s="1"/>
  <c r="W45" i="4"/>
  <c r="Q35" i="4"/>
  <c r="E9" i="4"/>
  <c r="F28" i="4"/>
  <c r="K28" i="4" s="1"/>
  <c r="F13" i="4"/>
  <c r="Q13" i="4" s="1"/>
  <c r="L31" i="4"/>
  <c r="W63" i="4"/>
  <c r="L23" i="4"/>
  <c r="W50" i="4"/>
  <c r="W52" i="4"/>
  <c r="W58" i="4"/>
  <c r="L60" i="4"/>
  <c r="L44" i="4"/>
  <c r="L28" i="4"/>
  <c r="L13" i="4"/>
  <c r="L48" i="4"/>
  <c r="W25" i="4"/>
  <c r="W26" i="4"/>
  <c r="W23" i="4"/>
  <c r="L25" i="4"/>
  <c r="W18" i="4"/>
  <c r="W40" i="4"/>
  <c r="L40" i="4"/>
  <c r="W43" i="4"/>
  <c r="W27" i="4"/>
  <c r="W33" i="4"/>
  <c r="W31" i="4"/>
  <c r="L27" i="4"/>
  <c r="L19" i="4"/>
  <c r="F43" i="4"/>
  <c r="Q43" i="4" s="1"/>
  <c r="W29" i="4"/>
  <c r="W49" i="4"/>
  <c r="W28" i="4"/>
  <c r="F34" i="4"/>
  <c r="Q34" i="4" s="1"/>
  <c r="F57" i="4"/>
  <c r="Q57" i="4" s="1"/>
  <c r="F11" i="4"/>
  <c r="K11" i="4" s="1"/>
  <c r="L32" i="4"/>
  <c r="F33" i="4"/>
  <c r="Q33" i="4" s="1"/>
  <c r="F15" i="4"/>
  <c r="M15" i="4" s="1"/>
  <c r="L45" i="4"/>
  <c r="F44" i="4"/>
  <c r="K44" i="4" s="1"/>
  <c r="F48" i="4"/>
  <c r="Q48" i="4" s="1"/>
  <c r="Q19" i="4"/>
  <c r="L14" i="4"/>
  <c r="F58" i="4"/>
  <c r="Q58" i="4" s="1"/>
  <c r="F25" i="4"/>
  <c r="Q25" i="4" s="1"/>
  <c r="M53" i="4"/>
  <c r="F23" i="4"/>
  <c r="Q23" i="4" s="1"/>
  <c r="L55" i="4"/>
  <c r="Q30" i="4"/>
  <c r="L38" i="4"/>
  <c r="F26" i="4"/>
  <c r="M26" i="4" s="1"/>
  <c r="Q42" i="4"/>
  <c r="L52" i="4"/>
  <c r="L22" i="4"/>
  <c r="F46" i="4"/>
  <c r="M46" i="4" s="1"/>
  <c r="F40" i="4"/>
  <c r="K40" i="4" s="1"/>
  <c r="L47" i="4"/>
  <c r="L18" i="4"/>
  <c r="S9" i="4"/>
  <c r="W12" i="4"/>
  <c r="V9" i="4"/>
  <c r="U9" i="4"/>
  <c r="T9" i="4"/>
  <c r="L54" i="4"/>
  <c r="N40" i="4"/>
  <c r="N13" i="4"/>
  <c r="N26" i="4"/>
  <c r="N25" i="4"/>
  <c r="N11" i="4"/>
  <c r="N63" i="4"/>
  <c r="N52" i="4"/>
  <c r="N14" i="4"/>
  <c r="N31" i="4"/>
  <c r="N29" i="4"/>
  <c r="N61" i="4"/>
  <c r="N30" i="4"/>
  <c r="N51" i="4"/>
  <c r="N53" i="4"/>
  <c r="N50" i="4"/>
  <c r="N27" i="4"/>
  <c r="N28" i="4"/>
  <c r="N15" i="4"/>
  <c r="N18" i="4"/>
  <c r="N58" i="4"/>
  <c r="N45" i="4"/>
  <c r="N55" i="4"/>
  <c r="N23" i="4"/>
  <c r="N32" i="4"/>
  <c r="N17" i="4"/>
  <c r="N59" i="4"/>
  <c r="N41" i="4"/>
  <c r="N54" i="4"/>
  <c r="N56" i="4"/>
  <c r="N38" i="4"/>
  <c r="N39" i="4"/>
  <c r="N46" i="4"/>
  <c r="N57" i="4"/>
  <c r="N60" i="4"/>
  <c r="N34" i="4"/>
  <c r="F12" i="4"/>
  <c r="Q12" i="4" s="1"/>
  <c r="J9" i="4"/>
  <c r="N44" i="4"/>
  <c r="N16" i="4"/>
  <c r="N37" i="4"/>
  <c r="N24" i="4"/>
  <c r="N43" i="4"/>
  <c r="N12" i="4"/>
  <c r="N42" i="4"/>
  <c r="N19" i="4"/>
  <c r="N47" i="4"/>
  <c r="N48" i="4"/>
  <c r="N35" i="4"/>
  <c r="N33" i="4"/>
  <c r="N36" i="4"/>
  <c r="N21" i="4"/>
  <c r="N49" i="4"/>
  <c r="N62" i="4"/>
  <c r="G9" i="4"/>
  <c r="N20" i="4"/>
  <c r="N22" i="4"/>
  <c r="L30" i="4"/>
  <c r="L20" i="4"/>
  <c r="L49" i="4"/>
  <c r="L42" i="4"/>
  <c r="Q32" i="4"/>
  <c r="K22" i="4"/>
  <c r="Q60" i="4"/>
  <c r="L43" i="4"/>
  <c r="Q52" i="4"/>
  <c r="M52" i="4"/>
  <c r="K32" i="4"/>
  <c r="M33" i="4"/>
  <c r="Q15" i="4"/>
  <c r="K53" i="4"/>
  <c r="F31" i="4"/>
  <c r="Q31" i="4" s="1"/>
  <c r="K52" i="4"/>
  <c r="L37" i="4"/>
  <c r="Q47" i="4"/>
  <c r="F50" i="4"/>
  <c r="Q50" i="4" s="1"/>
  <c r="K42" i="4"/>
  <c r="M16" i="4"/>
  <c r="K16" i="4"/>
  <c r="M37" i="4"/>
  <c r="K60" i="4"/>
  <c r="K45" i="4"/>
  <c r="K19" i="4"/>
  <c r="L16" i="4"/>
  <c r="M42" i="4"/>
  <c r="K35" i="4"/>
  <c r="M35" i="4"/>
  <c r="M18" i="4"/>
  <c r="K47" i="4"/>
  <c r="M22" i="4"/>
  <c r="K18" i="4"/>
  <c r="M32" i="4"/>
  <c r="Q16" i="4"/>
  <c r="Q53" i="4"/>
  <c r="K13" i="4"/>
  <c r="M47" i="4"/>
  <c r="F21" i="4"/>
  <c r="L21" i="4"/>
  <c r="F39" i="4"/>
  <c r="L39" i="4"/>
  <c r="F61" i="4"/>
  <c r="Q61" i="4" s="1"/>
  <c r="L61" i="4"/>
  <c r="F17" i="4"/>
  <c r="L17" i="4"/>
  <c r="F29" i="4"/>
  <c r="Q29" i="4" s="1"/>
  <c r="L29" i="4"/>
  <c r="F36" i="4"/>
  <c r="L36" i="4"/>
  <c r="M19" i="4"/>
  <c r="F41" i="4"/>
  <c r="L41" i="4"/>
  <c r="M38" i="4"/>
  <c r="Q18" i="4"/>
  <c r="F24" i="4"/>
  <c r="L24" i="4"/>
  <c r="F59" i="4"/>
  <c r="Q59" i="4" s="1"/>
  <c r="L59" i="4"/>
  <c r="M27" i="4"/>
  <c r="M60" i="4"/>
  <c r="Q27" i="4"/>
  <c r="K37" i="4"/>
  <c r="K27" i="4"/>
  <c r="M45" i="4" l="1"/>
  <c r="K20" i="4"/>
  <c r="K38" i="4"/>
  <c r="Q49" i="4"/>
  <c r="K54" i="4"/>
  <c r="M54" i="4"/>
  <c r="M55" i="4"/>
  <c r="M57" i="4"/>
  <c r="M20" i="4"/>
  <c r="K33" i="4"/>
  <c r="M13" i="4"/>
  <c r="K63" i="4"/>
  <c r="Q63" i="4"/>
  <c r="K15" i="4"/>
  <c r="W9" i="4"/>
  <c r="K57" i="4"/>
  <c r="M30" i="4"/>
  <c r="K55" i="4"/>
  <c r="M14" i="4"/>
  <c r="M28" i="4"/>
  <c r="Q28" i="4"/>
  <c r="Q14" i="4"/>
  <c r="Q11" i="4"/>
  <c r="M48" i="4"/>
  <c r="M49" i="4"/>
  <c r="M11" i="4"/>
  <c r="L9" i="4"/>
  <c r="M34" i="4"/>
  <c r="K34" i="4"/>
  <c r="K43" i="4"/>
  <c r="M43" i="4"/>
  <c r="M44" i="4"/>
  <c r="Q44" i="4"/>
  <c r="M58" i="4"/>
  <c r="K48" i="4"/>
  <c r="K58" i="4"/>
  <c r="M23" i="4"/>
  <c r="K25" i="4"/>
  <c r="M25" i="4"/>
  <c r="K46" i="4"/>
  <c r="Q26" i="4"/>
  <c r="K26" i="4"/>
  <c r="K23" i="4"/>
  <c r="Q46" i="4"/>
  <c r="Q40" i="4"/>
  <c r="M40" i="4"/>
  <c r="M12" i="4"/>
  <c r="K12" i="4"/>
  <c r="F9" i="4"/>
  <c r="M9" i="4" s="1"/>
  <c r="K31" i="4"/>
  <c r="M31" i="4"/>
  <c r="M29" i="4"/>
  <c r="K29" i="4"/>
  <c r="M61" i="4"/>
  <c r="K61" i="4"/>
  <c r="K50" i="4"/>
  <c r="M50" i="4"/>
  <c r="K59" i="4"/>
  <c r="M59" i="4"/>
  <c r="M39" i="4"/>
  <c r="Q39" i="4"/>
  <c r="K39" i="4"/>
  <c r="M17" i="4"/>
  <c r="K17" i="4"/>
  <c r="Q17" i="4"/>
  <c r="K24" i="4"/>
  <c r="M24" i="4"/>
  <c r="Q24" i="4"/>
  <c r="Q41" i="4"/>
  <c r="M41" i="4"/>
  <c r="K41" i="4"/>
  <c r="M36" i="4"/>
  <c r="K36" i="4"/>
  <c r="Q36" i="4"/>
  <c r="Q21" i="4"/>
  <c r="M21" i="4"/>
  <c r="K21" i="4"/>
  <c r="O24" i="4" l="1"/>
  <c r="O59" i="4"/>
  <c r="P59" i="4" s="1"/>
  <c r="O39" i="4"/>
  <c r="P39" i="4" s="1"/>
  <c r="O40" i="4"/>
  <c r="P40" i="4" s="1"/>
  <c r="O63" i="4"/>
  <c r="P63" i="4" s="1"/>
  <c r="O55" i="4"/>
  <c r="P55" i="4" s="1"/>
  <c r="O20" i="4"/>
  <c r="P20" i="4" s="1"/>
  <c r="O15" i="4"/>
  <c r="P15" i="4" s="1"/>
  <c r="O46" i="4"/>
  <c r="P46" i="4" s="1"/>
  <c r="O16" i="4"/>
  <c r="P16" i="4" s="1"/>
  <c r="O12" i="4"/>
  <c r="P12" i="4" s="1"/>
  <c r="O37" i="4"/>
  <c r="P37" i="4" s="1"/>
  <c r="O31" i="4"/>
  <c r="P31" i="4" s="1"/>
  <c r="O21" i="4"/>
  <c r="P21" i="4" s="1"/>
  <c r="O36" i="4"/>
  <c r="P36" i="4" s="1"/>
  <c r="O29" i="4"/>
  <c r="P29" i="4" s="1"/>
  <c r="O42" i="4"/>
  <c r="P42" i="4" s="1"/>
  <c r="O57" i="4"/>
  <c r="P57" i="4" s="1"/>
  <c r="O11" i="4"/>
  <c r="P11" i="4" s="1"/>
  <c r="O33" i="4"/>
  <c r="P33" i="4" s="1"/>
  <c r="O35" i="4"/>
  <c r="P35" i="4" s="1"/>
  <c r="O25" i="4"/>
  <c r="P25" i="4" s="1"/>
  <c r="O13" i="4"/>
  <c r="P13" i="4" s="1"/>
  <c r="O56" i="4"/>
  <c r="P56" i="4" s="1"/>
  <c r="O23" i="4"/>
  <c r="P23" i="4" s="1"/>
  <c r="O22" i="4"/>
  <c r="P22" i="4" s="1"/>
  <c r="O52" i="4"/>
  <c r="P52" i="4" s="1"/>
  <c r="O17" i="4"/>
  <c r="P17" i="4" s="1"/>
  <c r="O50" i="4"/>
  <c r="P50" i="4" s="1"/>
  <c r="O51" i="4"/>
  <c r="P51" i="4" s="1"/>
  <c r="O19" i="4"/>
  <c r="P19" i="4" s="1"/>
  <c r="O14" i="4"/>
  <c r="P14" i="4" s="1"/>
  <c r="O26" i="4"/>
  <c r="P26" i="4" s="1"/>
  <c r="O53" i="4"/>
  <c r="P53" i="4" s="1"/>
  <c r="O49" i="4"/>
  <c r="P49" i="4" s="1"/>
  <c r="O43" i="4"/>
  <c r="P43" i="4" s="1"/>
  <c r="O38" i="4"/>
  <c r="P38" i="4" s="1"/>
  <c r="O60" i="4"/>
  <c r="P60" i="4" s="1"/>
  <c r="O34" i="4"/>
  <c r="P34" i="4" s="1"/>
  <c r="O32" i="4"/>
  <c r="P32" i="4" s="1"/>
  <c r="O41" i="4"/>
  <c r="P41" i="4" s="1"/>
  <c r="O61" i="4"/>
  <c r="P61" i="4" s="1"/>
  <c r="O30" i="4"/>
  <c r="P30" i="4" s="1"/>
  <c r="O47" i="4"/>
  <c r="P47" i="4" s="1"/>
  <c r="O27" i="4"/>
  <c r="P27" i="4" s="1"/>
  <c r="O62" i="4"/>
  <c r="P62" i="4" s="1"/>
  <c r="O48" i="4"/>
  <c r="P48" i="4" s="1"/>
  <c r="O44" i="4"/>
  <c r="P44" i="4" s="1"/>
  <c r="O45" i="4"/>
  <c r="P45" i="4" s="1"/>
  <c r="O54" i="4"/>
  <c r="P54" i="4" s="1"/>
  <c r="O28" i="4"/>
  <c r="P28" i="4" s="1"/>
  <c r="O58" i="4"/>
  <c r="P58" i="4" s="1"/>
  <c r="O18" i="4"/>
  <c r="P18" i="4" s="1"/>
  <c r="K9" i="4"/>
  <c r="Q9" i="4"/>
  <c r="P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Марина Старкова</author>
  </authors>
  <commentList>
    <comment ref="K10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какой % чеков без карт охватили регистрациями</t>
        </r>
      </text>
    </comment>
    <comment ref="M10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Охват трафика. Количество чеков на 1 регистрацию</t>
        </r>
      </text>
    </comment>
    <comment ref="O10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Рейтинг по охвату трафика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Анатолий\Documents\Мои источники данных\80.78.249.3 Cube_15 Dagfarm.odc" keepAlive="1" name="80.78.249.3 Cube_15 Dagfarm" type="5" refreshedVersion="6" savePassword="1" background="1" saveData="1">
    <dbPr connection="Provider=MSOLAP.5;Password=&quot;Qm1VP!;!17@m4FB&quot;;Persist Security Info=True;User ID=Cube15_Dagfarm;Initial Catalog=Cube_15;Data Source=80.78.249.3;MDX Compatibility=1;Safety Options=2;MDX Missing Member Mode=Error;Update Isolation Level=2" command="Dagfarm" commandType="1"/>
    <olapPr sendLocale="1" rowDrillCount="1000"/>
  </connection>
  <connection id="2" xr16:uid="{00000000-0015-0000-FFFF-FFFF00000000}" keepAlive="1" name="pbiazure://api.powerbi.com 83632372-cf68-4ca7-82da-0732e9bf6faf Model" type="5" refreshedVersion="6" background="1" refreshOnLoad="1">
    <dbPr connection="Provider=MSOLAP.8;Integrated Security=ClaimsToken;Persist Security Info=True;Initial Catalog=sobe_wowvirtualserver-83632372-cf68-4ca7-82da-0732e9bf6faf;Data Source=pbiazure://api.powerbi.com;MDX Compatibility=1;Safety Options=2;MDX Missing Member Mode=Error;Identity Provider=https://login.microsoftonline.com/common, https://analysis.windows.net/powerbi/api, 929d0ec0-7a41-4b1e-bc7c-b754a28bddcc;Update Isolation Level=2" command="Model" commandType="1"/>
    <olapPr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80.78.249.3 Cube_15 Dagfarm"/>
    <s v="{[ГКМД сервера].[ГКМД сервера].[Год].&amp;[2022].&amp;[3 кв].&amp;[Сен].&amp;[26],[ГКМД сервера].[ГКМД сервера].[Год].&amp;[2022].&amp;[3 кв].&amp;[Сен].&amp;[27],[ГКМД сервера].[ГКМД сервера].[Год].&amp;[2022].&amp;[3 кв].&amp;[Сен].&amp;[28],[ГКМД сервера].[ГКМД сервера].[Год].&amp;[2022].&amp;[3 кв].&amp;[Сен].&amp;[29],[ГКМД сервера].[ГКМД сервера].[Год].&amp;[2022].&amp;[3 кв].&amp;[Сен].&amp;[30],[ГКМД сервера].[ГКМД сервера].[Год].&amp;[2022].&amp;[4 кв].&amp;[Окт].&amp;[1],[ГКМД сервера].[ГКМД сервера].[Год].&amp;[2022].&amp;[4 кв].&amp;[Окт].&amp;[2]}"/>
    <s v="pbiazure://api.powerbi.com 83632372-cf68-4ca7-82da-0732e9bf6faf Model"/>
    <s v="{[Календарь].[ГКМД].[Год].&amp;[2022].&amp;[Октябрь].&amp;[1],[Календарь].[ГКМД].[Год].&amp;[2022].&amp;[Октябрь].&amp;[2],[Календарь].[ГКМД].[Год].&amp;[2022].&amp;[Сентябрь].&amp;[26],[Календарь].[ГКМД].[Год].&amp;[2022].&amp;[Сентябрь].&amp;[27],[Календарь].[ГКМД].[Год].&amp;[2022].&amp;[Сентябрь].&amp;[28],[Календарь].[ГКМД].[Год].&amp;[2022].&amp;[Сентябрь].&amp;[29],[Календарь].[ГКМД].[Год].&amp;[2022].&amp;[Сентябрь].&amp;[30]}"/>
  </metadataStrings>
  <mdxMetadata count="2">
    <mdx n="0" f="s">
      <ms ns="1" c="0"/>
    </mdx>
    <mdx n="2" f="s">
      <ms ns="3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<sst xmlns="http://schemas.openxmlformats.org/spreadsheetml/2006/main" count="438" uniqueCount="164">
  <si>
    <t>Год</t>
  </si>
  <si>
    <t>Месяц</t>
  </si>
  <si>
    <t>Кол-во чеков общее, шт</t>
  </si>
  <si>
    <t>Кол-во чеков вне ПЛ, шт.</t>
  </si>
  <si>
    <t>Кол-во регистраций с покупкой, шт</t>
  </si>
  <si>
    <t>Кол-во выданных пластиковых карт, шт.</t>
  </si>
  <si>
    <t>% выданных пластиковых карт, шт.</t>
  </si>
  <si>
    <t>Кол-во чеков по участникам ПЛ, шт</t>
  </si>
  <si>
    <t>Процент выданных карт от чеков вне ПЛ, %</t>
  </si>
  <si>
    <t>Сколько было чеков вне ПЛ между регистрациями</t>
  </si>
  <si>
    <t>Ретинг по кол-ву регистраций</t>
  </si>
  <si>
    <t>Рейтинг по проценту выданных карт от чеков вне ПЛ</t>
  </si>
  <si>
    <t>Сводный рейтинг</t>
  </si>
  <si>
    <t>Кол-во выданных карт лояльности на 100 чеков без карт</t>
  </si>
  <si>
    <t>Магазин</t>
  </si>
  <si>
    <t>1. Список аптек</t>
  </si>
  <si>
    <t>Названия строк</t>
  </si>
  <si>
    <t>2022</t>
  </si>
  <si>
    <t>Общий итог</t>
  </si>
  <si>
    <t>Махачкала, ул. М.Ярагского, 71</t>
  </si>
  <si>
    <t>Бабаюрт, ул. Дж.Алиева, 30</t>
  </si>
  <si>
    <t>Избербаш, ул. Маяковского, 114а</t>
  </si>
  <si>
    <t>Каспийск, ул. Абдулманапова, 6Б</t>
  </si>
  <si>
    <t>Каспийск, ул. Азиза Алиева, 2а</t>
  </si>
  <si>
    <t>Каспийск, ул. Каспийская, 6 А</t>
  </si>
  <si>
    <t>Каспийск, ул. Ленина,13</t>
  </si>
  <si>
    <t>Каспийск, ул. Ленина,54</t>
  </si>
  <si>
    <t>Каспийск, ул. Сулеймана Стальского, 1</t>
  </si>
  <si>
    <t>Махачкала, мкр. Караман-7, Федеральное шоссе, 56</t>
  </si>
  <si>
    <t>Махачкала, п. Семендер, пр. Казбекова, 32</t>
  </si>
  <si>
    <t>Махачкала, пр. А.Акушинского, 1А (Им.Шамиля, 4 в)</t>
  </si>
  <si>
    <t>Махачкала, пр. А.Акушинского, 34</t>
  </si>
  <si>
    <t>Махачкала, пр. Амет-Хана Султана, 6/4 (Ахмет-хана Султана, 4/7)</t>
  </si>
  <si>
    <t>Махачкала, пр. Амет-Хана Султана, 6К (ДФ+)</t>
  </si>
  <si>
    <t>Махачкала, пр. Гамидова, 12</t>
  </si>
  <si>
    <t>Махачкала, пр. Гамидова, 48</t>
  </si>
  <si>
    <t>Махачкала, пр. Гамидова, 57</t>
  </si>
  <si>
    <t>Махачкала, пр. Им. Шамиля, 45</t>
  </si>
  <si>
    <t>Махачкала, пр. Им.Шамиля,  35"А"</t>
  </si>
  <si>
    <t>Махачкала, пр. Им.Шамиля, 101</t>
  </si>
  <si>
    <t>Махачкала, пр. Им.Шамиля, 32а</t>
  </si>
  <si>
    <t>Махачкала, пр. Насрутдинова, 30к (пр. Петра I, 44е)</t>
  </si>
  <si>
    <t>Махачкала, пр. Петра 1, 25 Б (Петра 1, 73А)</t>
  </si>
  <si>
    <t>Махачкала, пр. Петра I ,135 (ДФ+)</t>
  </si>
  <si>
    <t>Махачкала, пр. Петра I ,135 (Петра 1, 59 Р)</t>
  </si>
  <si>
    <t>Махачкала, пр. Р.Гамзатова, 119</t>
  </si>
  <si>
    <t>Махачкала, ул. Абдулхакима Исмаилова, 32 (ДФ+)</t>
  </si>
  <si>
    <t>Махачкала, ул. Абдулы Алиева, 4А (Абдулы Алиева, 18)</t>
  </si>
  <si>
    <t>Махачкала, ул. Азиза Алиева, 9А</t>
  </si>
  <si>
    <t>Махачкала, ул. Айвазовского, 2И (ДФ+)</t>
  </si>
  <si>
    <t>Махачкала, ул. Айвазовского, 4А/2 (пр. А.Акушинского, 361)</t>
  </si>
  <si>
    <t>Махачкала, ул. Габитова, 2 (пр. Насрутдинова, 49 А)</t>
  </si>
  <si>
    <t>Махачкала, ул. Гайдара Гаджиева,14ж/3</t>
  </si>
  <si>
    <t>Махачкала, ул. Каммаева, 19 "в"</t>
  </si>
  <si>
    <t>Махачкала, ул. Каммаева, 4Б (Каммаева, 14)</t>
  </si>
  <si>
    <t>Махачкала, ул. Каммаева, 89 А (Каммаева, 15Б/1)</t>
  </si>
  <si>
    <t>Махачкала, ул. М.Гаджиева, 194</t>
  </si>
  <si>
    <t>Махачкала, ул. М.Гаджиева, 7</t>
  </si>
  <si>
    <t>Махачкала, ул. М.Ярагского, 80</t>
  </si>
  <si>
    <t>Махачкала, ул. Магомедтагирова,176Г (Магомедтагирова 176Е)</t>
  </si>
  <si>
    <t>Махачкала, ул. О.Кошевого, 37</t>
  </si>
  <si>
    <t>Махачкала, ул. Радищева, 3</t>
  </si>
  <si>
    <t>Махачкала, ул. Радужная, 4</t>
  </si>
  <si>
    <t>Махачкала, ул. Талгинская, 19</t>
  </si>
  <si>
    <t>Махачкала, ул. Ташкентская, 28Б</t>
  </si>
  <si>
    <t>Махачкала, ул. Ш. Алиева, 7 (Шамсулы Алиева, 33 А)</t>
  </si>
  <si>
    <t>Махачкала, ул. Юсупа Акаева, 23</t>
  </si>
  <si>
    <t>Хасавюрт, ул, Даибова, 8</t>
  </si>
  <si>
    <t>Номер Магазина</t>
  </si>
  <si>
    <t>8026</t>
  </si>
  <si>
    <t>8018</t>
  </si>
  <si>
    <t>8020</t>
  </si>
  <si>
    <t>8039</t>
  </si>
  <si>
    <t>8004</t>
  </si>
  <si>
    <t>8001</t>
  </si>
  <si>
    <t>8079</t>
  </si>
  <si>
    <t>8059</t>
  </si>
  <si>
    <t>8076</t>
  </si>
  <si>
    <t>8023</t>
  </si>
  <si>
    <t>8061</t>
  </si>
  <si>
    <t>8070</t>
  </si>
  <si>
    <t>8036</t>
  </si>
  <si>
    <t>8081</t>
  </si>
  <si>
    <t>8069</t>
  </si>
  <si>
    <t>8024</t>
  </si>
  <si>
    <t>8065</t>
  </si>
  <si>
    <t>8068</t>
  </si>
  <si>
    <t>8078</t>
  </si>
  <si>
    <t>8015</t>
  </si>
  <si>
    <t>8063</t>
  </si>
  <si>
    <t>8054</t>
  </si>
  <si>
    <t>8071</t>
  </si>
  <si>
    <t>8080</t>
  </si>
  <si>
    <t>8084</t>
  </si>
  <si>
    <t>8005</t>
  </si>
  <si>
    <t>8003</t>
  </si>
  <si>
    <t>8083</t>
  </si>
  <si>
    <t>8035</t>
  </si>
  <si>
    <t>8064</t>
  </si>
  <si>
    <t>8082</t>
  </si>
  <si>
    <t>8022</t>
  </si>
  <si>
    <t>8006</t>
  </si>
  <si>
    <t>8062</t>
  </si>
  <si>
    <t>8009</t>
  </si>
  <si>
    <t>8011</t>
  </si>
  <si>
    <t>8010</t>
  </si>
  <si>
    <t>8012</t>
  </si>
  <si>
    <t>8014</t>
  </si>
  <si>
    <t>8019</t>
  </si>
  <si>
    <t>8074</t>
  </si>
  <si>
    <t>8029</t>
  </si>
  <si>
    <t>8017</t>
  </si>
  <si>
    <t>8027</t>
  </si>
  <si>
    <t>8032</t>
  </si>
  <si>
    <t>8057</t>
  </si>
  <si>
    <t>8073</t>
  </si>
  <si>
    <t>8016</t>
  </si>
  <si>
    <t>8075</t>
  </si>
  <si>
    <t>8025</t>
  </si>
  <si>
    <t>Сентябрь</t>
  </si>
  <si>
    <t>Чеки шт</t>
  </si>
  <si>
    <t>№ магазина</t>
  </si>
  <si>
    <t>2. Выгрузка общих чеков</t>
  </si>
  <si>
    <t>Карты новые шт</t>
  </si>
  <si>
    <t>3. Выгрузка данных по ПЛ</t>
  </si>
  <si>
    <t>Махачкала, ул. Юсупова, 55</t>
  </si>
  <si>
    <t>с. Новокаякент, ул. У.Джабраиловой, д.  (ул. Новая, 32)</t>
  </si>
  <si>
    <t>с.Ботлих, ул. Им.Газимагомеда, 48</t>
  </si>
  <si>
    <t>Каспийск, ул. Ленина 52ж ( ДФ+)</t>
  </si>
  <si>
    <t>8000</t>
  </si>
  <si>
    <t>8058</t>
  </si>
  <si>
    <t>-</t>
  </si>
  <si>
    <t>Выводы</t>
  </si>
  <si>
    <t>Всего выдано карт с первой покупкой</t>
  </si>
  <si>
    <t>ИТОГО</t>
  </si>
  <si>
    <t>ИТОГО:</t>
  </si>
  <si>
    <t>8067</t>
  </si>
  <si>
    <t>(несколько элементов)</t>
  </si>
  <si>
    <t>Вовлеченность в чеках, %</t>
  </si>
  <si>
    <t>Общая выручка, руб.</t>
  </si>
  <si>
    <t>Выручка по ПЛ прайс, руб.</t>
  </si>
  <si>
    <t>Выручка по ПЛ ФАКТ, руб.</t>
  </si>
  <si>
    <t>Внутренняя скидка вне ПЛ, руб.</t>
  </si>
  <si>
    <t>Списано бонусов, руб.</t>
  </si>
  <si>
    <t>Вовлеченность в деньгах, %</t>
  </si>
  <si>
    <t>Выручка прайс руб</t>
  </si>
  <si>
    <t>Выручка факт руб</t>
  </si>
  <si>
    <t>Скидка по товарам руб</t>
  </si>
  <si>
    <t>Бонусов С</t>
  </si>
  <si>
    <t>Средний полказатель выданных карт на 100 чеков без регистрации - 10,5 (среднеотраслевой 9,7)</t>
  </si>
  <si>
    <t>Наблюдается хороший рост по этому показателю в сравнении с периодом 01.09-18.09 (7,5 выданных карт на 100 чеков)</t>
  </si>
  <si>
    <t>ЕЖЕМЕСЯЧНЫЙ ОТЧЕТ "РЕЙТИНГ АПТЕК ПО РЕГИСТРАЦИЯМ В ПРОГРАММЕ ЛОЯЛЬНОСТИ" за период 26.09 - 02.10</t>
  </si>
  <si>
    <t>ГКМД сервера</t>
  </si>
  <si>
    <t>Unknown</t>
  </si>
  <si>
    <t>Названия столбцов</t>
  </si>
  <si>
    <t>3 кв</t>
  </si>
  <si>
    <t>4 кв</t>
  </si>
  <si>
    <t>Авг</t>
  </si>
  <si>
    <t>Сен</t>
  </si>
  <si>
    <t>Окт</t>
  </si>
  <si>
    <t>Выручка общая</t>
  </si>
  <si>
    <t>ГКМД</t>
  </si>
  <si>
    <t>Values</t>
  </si>
  <si>
    <t>Количество чеков общее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</si>
</sst>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₽_-;\-* #,##0.00\ _₽_-;_-* &quot;-&quot;??\ _₽_-;_-@_-"/>
    <numFmt numFmtId="164" formatCode="_-* #,##0.00_-;\-* #,##0.00_-;_-* &quot;-&quot;??_-;_-@_-"/>
    <numFmt numFmtId="165" formatCode="_-* #,##0_-;\-* #,##0_-;_-* &quot;-&quot;??_-;_-@_-"/>
    <numFmt numFmtId="166" formatCode="#,##0_ ;\-#,##0\ "/>
    <numFmt numFmtId="167" formatCode="#,##0.0_ ;\-#,##0.0\ "/>
    <numFmt numFmtId="168" formatCode="_-* #,##0\ _₽_-;\-* #,##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0"/>
      <name val="Franklin Gothic Book"/>
      <family val="2"/>
      <charset val="204"/>
    </font>
    <font>
      <b/>
      <sz val="11"/>
      <name val="Franklin Gothic Book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Franklin Gothic Book"/>
      <family val="2"/>
      <charset val="204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6E0C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/>
    <xf numFmtId="0" fontId="2" fillId="0" borderId="1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3" fillId="0" borderId="1" xfId="1" applyBorder="1"/>
    <xf numFmtId="165" fontId="3" fillId="0" borderId="1" xfId="2" applyNumberFormat="1" applyBorder="1"/>
    <xf numFmtId="9" fontId="0" fillId="0" borderId="1" xfId="3" applyFont="1" applyBorder="1"/>
    <xf numFmtId="165" fontId="0" fillId="0" borderId="1" xfId="2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1" xfId="1" applyNumberFormat="1" applyFont="1" applyBorder="1"/>
    <xf numFmtId="0" fontId="6" fillId="2" borderId="0" xfId="0" applyFont="1" applyFill="1" applyAlignment="1"/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6" fontId="0" fillId="0" borderId="1" xfId="2" applyNumberFormat="1" applyFont="1" applyBorder="1"/>
    <xf numFmtId="167" fontId="3" fillId="0" borderId="1" xfId="2" applyNumberFormat="1" applyBorder="1"/>
    <xf numFmtId="0" fontId="6" fillId="0" borderId="0" xfId="0" applyFont="1" applyFill="1" applyAlignment="1"/>
    <xf numFmtId="0" fontId="7" fillId="0" borderId="0" xfId="0" applyFont="1" applyFill="1" applyAlignment="1"/>
    <xf numFmtId="0" fontId="8" fillId="0" borderId="0" xfId="1" applyFont="1"/>
    <xf numFmtId="0" fontId="9" fillId="0" borderId="0" xfId="0" applyFont="1"/>
    <xf numFmtId="0" fontId="10" fillId="0" borderId="0" xfId="0" applyFont="1" applyFill="1" applyAlignment="1"/>
    <xf numFmtId="0" fontId="3" fillId="0" borderId="1" xfId="1" applyFill="1" applyBorder="1"/>
    <xf numFmtId="168" fontId="0" fillId="0" borderId="1" xfId="5" applyNumberFormat="1" applyFont="1" applyBorder="1"/>
    <xf numFmtId="165" fontId="10" fillId="0" borderId="1" xfId="0" applyNumberFormat="1" applyFont="1" applyFill="1" applyBorder="1" applyAlignment="1"/>
    <xf numFmtId="1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/>
    <xf numFmtId="0" fontId="3" fillId="0" borderId="3" xfId="1" applyBorder="1"/>
    <xf numFmtId="0" fontId="3" fillId="0" borderId="2" xfId="1" applyBorder="1"/>
    <xf numFmtId="168" fontId="11" fillId="4" borderId="1" xfId="0" applyNumberFormat="1" applyFont="1" applyFill="1" applyBorder="1"/>
    <xf numFmtId="165" fontId="11" fillId="4" borderId="1" xfId="2" applyNumberFormat="1" applyFont="1" applyFill="1" applyBorder="1"/>
    <xf numFmtId="9" fontId="11" fillId="4" borderId="1" xfId="3" applyFont="1" applyFill="1" applyBorder="1"/>
    <xf numFmtId="166" fontId="11" fillId="4" borderId="1" xfId="2" applyNumberFormat="1" applyFont="1" applyFill="1" applyBorder="1"/>
    <xf numFmtId="167" fontId="11" fillId="4" borderId="1" xfId="2" applyNumberFormat="1" applyFont="1" applyFill="1" applyBorder="1"/>
    <xf numFmtId="0" fontId="2" fillId="0" borderId="1" xfId="1" applyNumberFormat="1" applyFont="1" applyFill="1" applyBorder="1"/>
    <xf numFmtId="0" fontId="2" fillId="0" borderId="4" xfId="1" applyNumberFormat="1" applyFont="1" applyBorder="1"/>
    <xf numFmtId="0" fontId="4" fillId="5" borderId="1" xfId="4" applyFont="1" applyFill="1" applyBorder="1" applyAlignment="1">
      <alignment horizontal="center" vertical="center" wrapText="1"/>
    </xf>
    <xf numFmtId="9" fontId="11" fillId="5" borderId="1" xfId="3" applyFont="1" applyFill="1" applyBorder="1"/>
    <xf numFmtId="165" fontId="2" fillId="5" borderId="5" xfId="2" applyNumberFormat="1" applyFont="1" applyFill="1" applyBorder="1" applyAlignment="1">
      <alignment horizontal="center" vertical="center" wrapText="1"/>
    </xf>
    <xf numFmtId="43" fontId="3" fillId="0" borderId="1" xfId="5" applyFont="1" applyBorder="1"/>
    <xf numFmtId="9" fontId="3" fillId="0" borderId="1" xfId="6" applyFont="1" applyBorder="1"/>
    <xf numFmtId="9" fontId="11" fillId="5" borderId="1" xfId="6" applyFont="1" applyFill="1" applyBorder="1"/>
    <xf numFmtId="43" fontId="8" fillId="0" borderId="0" xfId="5" applyFont="1"/>
    <xf numFmtId="43" fontId="9" fillId="0" borderId="0" xfId="5" applyFont="1"/>
    <xf numFmtId="43" fontId="11" fillId="5" borderId="1" xfId="5" applyFont="1" applyFill="1" applyBorder="1"/>
    <xf numFmtId="0" fontId="7" fillId="3" borderId="0" xfId="0" applyFont="1" applyFill="1"/>
    <xf numFmtId="0" fontId="10" fillId="3" borderId="0" xfId="0" applyFont="1" applyFill="1" applyAlignment="1"/>
    <xf numFmtId="4" fontId="0" fillId="0" borderId="0" xfId="0" applyNumberFormat="1"/>
    <xf numFmtId="0" fontId="0" fillId="0" borderId="0" xfId="0" pivotButton="1" applyNumberFormat="1"/>
    <xf numFmtId="1" fontId="0" fillId="0" borderId="0" xfId="0" applyNumberFormat="1"/>
    <xf numFmtId="0" fontId="2" fillId="3" borderId="1" xfId="1" applyNumberFormat="1" applyFont="1" applyFill="1" applyBorder="1"/>
    <xf numFmtId="0" fontId="11" fillId="4" borderId="1" xfId="0" applyFont="1" applyFill="1" applyBorder="1" applyAlignment="1">
      <alignment horizontal="right"/>
    </xf>
  </cellXfs>
  <cellStyles count="7">
    <cellStyle name="Обычный" xfId="0" builtinId="0"/>
    <cellStyle name="Обычный 2" xfId="1" xr:uid="{00000000-0005-0000-0000-000001000000}"/>
    <cellStyle name="Обычный 3 2 2" xfId="4" xr:uid="{00000000-0005-0000-0000-000002000000}"/>
    <cellStyle name="Процентный" xfId="6" builtinId="5"/>
    <cellStyle name="Процентный 2" xfId="3" xr:uid="{00000000-0005-0000-0000-000004000000}"/>
    <cellStyle name="Финансовый" xfId="5" builtinId="3"/>
    <cellStyle name="Финансовый 2" xfId="2" xr:uid="{00000000-0005-0000-0000-00000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6E0C4"/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4.xml"/><Relationship Id="rId11" Type="http://schemas.openxmlformats.org/officeDocument/2006/relationships/sheetMetadata" Target="metadata.xml"/><Relationship Id="rId5" Type="http://schemas.openxmlformats.org/officeDocument/2006/relationships/pivotCacheDefinition" Target="pivotCache/pivotCacheDefinition3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2.xml"/><Relationship Id="rId9" Type="http://schemas.openxmlformats.org/officeDocument/2006/relationships/styles" Target="style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Natalya Bodneva" refreshedDate="44837.489969212962" backgroundQuery="1" createdVersion="6" refreshedVersion="6" minRefreshableVersion="3" recordCount="0" supportSubquery="1" supportAdvancedDrill="1" xr:uid="{00000000-000A-0000-FFFF-FFFF22000000}">
  <cacheSource type="external" connectionId="1"/>
  <cacheFields count="22">
    <cacheField name="[ГКМД первой покупки].[ГКМД первой покупки].[Год]" caption="Год" numFmtId="0" hierarchy="10" level="1">
      <sharedItems containsSemiMixedTypes="0" containsString="0"/>
    </cacheField>
    <cacheField name="[ГКМД первой покупки].[ГКМД первой покупки].[Квартал]" caption="Квартал" numFmtId="0" hierarchy="10" level="2">
      <sharedItems containsSemiMixedTypes="0" containsString="0"/>
    </cacheField>
    <cacheField name="[ГКМД первой покупки].[ГКМД первой покупки].[Месяц]" caption="Месяц" numFmtId="0" hierarchy="10" level="3">
      <sharedItems containsSemiMixedTypes="0" containsString="0"/>
    </cacheField>
    <cacheField name="[ГКМД первой покупки].[ГКМД первой покупки].[День]" caption="День" numFmtId="0" hierarchy="10" level="4">
      <sharedItems containsSemiMixedTypes="0" containsString="0"/>
    </cacheField>
    <cacheField name="[ГКМД первой покупки].[ГКМД первой покупки].[Месяц].[Ordering Месяц on DateN_CardMin Месяц числовой]" caption="Ordering Месяц on DateN_CardMin Месяц числовой" propertyName="Ordering Месяц on DateN_CardMin Месяц числовой" numFmtId="0" hierarchy="10" level="3" memberPropertyField="1">
      <sharedItems containsSemiMixedTypes="0" containsString="0"/>
    </cacheField>
    <cacheField name="[ГКМД на кассе].[Год].[Год]" caption="Год" numFmtId="0" hierarchy="1" level="1">
      <sharedItems containsSemiMixedTypes="0" containsString="0"/>
    </cacheField>
    <cacheField name="[ГКМД на кассе].[Месяц Числовой].[Месяц Числовой]" caption="Месяц Числовой" numFmtId="0" hierarchy="8" level="1">
      <sharedItems containsSemiMixedTypes="0" containsString="0"/>
    </cacheField>
    <cacheField name="[ГКМД на кассе].[Месяц Числовой].[Месяц Числовой].[Месяц]" caption="Месяц" propertyName="Месяц" numFmtId="0" hierarchy="8" level="1" memberPropertyField="1">
      <sharedItems containsSemiMixedTypes="0" containsString="0"/>
    </cacheField>
    <cacheField name="[Организации].[Номер Магазина].[Номер Магазина]" caption="Номер Магазина" numFmtId="0" hierarchy="98" level="1">
      <sharedItems count="54">
        <s v="[Организации].[Номер Магазина].&amp;[8000]" c="8000"/>
        <s v="[Организации].[Номер Магазина].&amp;[8001]" c="8001"/>
        <s v="[Организации].[Номер Магазина].&amp;[8003]" c="8003"/>
        <s v="[Организации].[Номер Магазина].&amp;[8004]" c="8004"/>
        <s v="[Организации].[Номер Магазина].&amp;[8005]" c="8005"/>
        <s v="[Организации].[Номер Магазина].&amp;[8006]" c="8006"/>
        <s v="[Организации].[Номер Магазина].&amp;[8009]" c="8009"/>
        <s v="[Организации].[Номер Магазина].&amp;[8010]" c="8010"/>
        <s v="[Организации].[Номер Магазина].&amp;[8011]" c="8011"/>
        <s v="[Организации].[Номер Магазина].&amp;[8012]" c="8012"/>
        <s v="[Организации].[Номер Магазина].&amp;[8014]" c="8014"/>
        <s v="[Организации].[Номер Магазина].&amp;[8015]" c="8015"/>
        <s v="[Организации].[Номер Магазина].&amp;[8016]" c="8016"/>
        <s v="[Организации].[Номер Магазина].&amp;[8017]" c="8017"/>
        <s v="[Организации].[Номер Магазина].&amp;[8018]" c="8018"/>
        <s v="[Организации].[Номер Магазина].&amp;[8019]" c="8019"/>
        <s v="[Организации].[Номер Магазина].&amp;[8020]" c="8020"/>
        <s v="[Организации].[Номер Магазина].&amp;[8022]" c="8022"/>
        <s v="[Организации].[Номер Магазина].&amp;[8023]" c="8023"/>
        <s v="[Организации].[Номер Магазина].&amp;[8024]" c="8024"/>
        <s v="[Организации].[Номер Магазина].&amp;[8025]" c="8025"/>
        <s v="[Организации].[Номер Магазина].&amp;[8026]" c="8026"/>
        <s v="[Организации].[Номер Магазина].&amp;[8027]" c="8027"/>
        <s v="[Организации].[Номер Магазина].&amp;[8029]" c="8029"/>
        <s v="[Организации].[Номер Магазина].&amp;[8032]" c="8032"/>
        <s v="[Организации].[Номер Магазина].&amp;[8035]" c="8035"/>
        <s v="[Организации].[Номер Магазина].&amp;[8036]" c="8036"/>
        <s v="[Организации].[Номер Магазина].&amp;[8039]" c="8039"/>
        <s v="[Организации].[Номер Магазина].&amp;[8054]" c="8054"/>
        <s v="[Организации].[Номер Магазина].&amp;[8057]" c="8057"/>
        <s v="[Организации].[Номер Магазина].&amp;[8058]" c="8058"/>
        <s v="[Организации].[Номер Магазина].&amp;[8059]" c="8059"/>
        <s v="[Организации].[Номер Магазина].&amp;[8061]" c="8061"/>
        <s v="[Организации].[Номер Магазина].&amp;[8062]" c="8062"/>
        <s v="[Организации].[Номер Магазина].&amp;[8063]" c="8063"/>
        <s v="[Организации].[Номер Магазина].&amp;[8064]" c="8064"/>
        <s v="[Организации].[Номер Магазина].&amp;[8065]" c="8065"/>
        <s v="[Организации].[Номер Магазина].&amp;[8067]" c="8067"/>
        <s v="[Организации].[Номер Магазина].&amp;[8068]" c="8068"/>
        <s v="[Организации].[Номер Магазина].&amp;[8069]" c="8069"/>
        <s v="[Организации].[Номер Магазина].&amp;[8070]" c="8070"/>
        <s v="[Организации].[Номер Магазина].&amp;[8071]" c="8071"/>
        <s v="[Организации].[Номер Магазина].&amp;[8073]" c="8073"/>
        <s v="[Организации].[Номер Магазина].&amp;[8074]" c="8074"/>
        <s v="[Организации].[Номер Магазина].&amp;[8075]" c="8075"/>
        <s v="[Организации].[Номер Магазина].&amp;[8076]" c="8076"/>
        <s v="[Организации].[Номер Магазина].&amp;[8078]" c="8078"/>
        <s v="[Организации].[Номер Магазина].&amp;[8079]" c="8079"/>
        <s v="[Организации].[Номер Магазина].&amp;[8080]" c="8080"/>
        <s v="[Организации].[Номер Магазина].&amp;[8081]" c="8081"/>
        <s v="[Организации].[Номер Магазина].&amp;[8082]" c="8082"/>
        <s v="[Организации].[Номер Магазина].&amp;[8083]" c="8083"/>
        <s v="[Организации].[Номер Магазина].&amp;[8084]" c="8084"/>
        <s v="[Организации].[Номер Магазина].[All].UNKNOWNMEMBER" c="Unknown"/>
      </sharedItems>
    </cacheField>
    <cacheField name="[Measures].[Карты новые шт]" caption="Карты новые шт" numFmtId="0" hierarchy="353" level="32767"/>
    <cacheField name="[Measures].[Чеки шт]" caption="Чеки шт" numFmtId="0" hierarchy="356" level="32767"/>
    <cacheField name="[ГКМД на кассе].[День].[День]" caption="День" numFmtId="0" hierarchy="4" level="1">
      <sharedItems containsSemiMixedTypes="0" containsString="0"/>
    </cacheField>
    <cacheField name="[Measures].[Выручка прайс руб]" caption="Выручка прайс руб" numFmtId="0" hierarchy="355" level="32767"/>
    <cacheField name="[Measures].[Выручка факт руб]" caption="Выручка факт руб" numFmtId="0" hierarchy="367" level="32767"/>
    <cacheField name="[Measures].[Скидка по товарам руб]" caption="Скидка по товарам руб" numFmtId="0" hierarchy="347" level="32767"/>
    <cacheField name="[Measures].[Бонусов С]" caption="Бонусов С" numFmtId="0" hierarchy="351" level="32767"/>
    <cacheField name="[ГКМД сервера].[ГКМД сервера].[Год]" caption="Год" numFmtId="0" hierarchy="20" level="1">
      <sharedItems containsSemiMixedTypes="0" containsString="0"/>
    </cacheField>
    <cacheField name="[ГКМД сервера].[ГКМД сервера].[Квартал]" caption="Квартал" numFmtId="0" hierarchy="20" level="2">
      <sharedItems containsSemiMixedTypes="0" containsString="0"/>
    </cacheField>
    <cacheField name="[ГКМД сервера].[ГКМД сервера].[Месяц]" caption="Месяц" numFmtId="0" hierarchy="20" level="3">
      <sharedItems containsSemiMixedTypes="0" containsString="0"/>
    </cacheField>
    <cacheField name="[ГКМД сервера].[ГКМД сервера].[День]" caption="День" numFmtId="0" hierarchy="20" level="4">
      <sharedItems containsSemiMixedTypes="0" containsString="0"/>
    </cacheField>
    <cacheField name="[ГКМД сервера].[ГКМД сервера].[Месяц].[Ordering Месяц on DateS Месяц числовой]" caption="Ordering Месяц on DateS Месяц числовой" propertyName="Ordering Месяц on DateS Месяц числовой" numFmtId="0" hierarchy="20" level="3" memberPropertyField="1">
      <sharedItems containsSemiMixedTypes="0" containsString="0"/>
    </cacheField>
    <cacheField name="[ГКМД сервера].[ГКМД сервера].[Месяц].[Квартал]" caption="Квартал" propertyName="Квартал" numFmtId="0" hierarchy="20" level="3" memberPropertyField="1">
      <sharedItems containsSemiMixedTypes="0" containsString="0"/>
    </cacheField>
  </cacheFields>
  <cacheHierarchies count="410"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5" unbalanced="0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2" unbalanced="0">
      <fieldsUsage count="2">
        <fieldUsage x="-1"/>
        <fieldUsage x="5"/>
      </fieldsUsage>
    </cacheHierarchy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2" unbalanced="0">
      <fieldsUsage count="2">
        <fieldUsage x="-1"/>
        <fieldUsage x="11"/>
      </fieldsUsage>
    </cacheHierarchy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2" unbalanced="0">
      <fieldsUsage count="2">
        <fieldUsage x="-1"/>
        <fieldUsage x="6"/>
      </fieldsUsage>
    </cacheHierarchy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16"/>
        <fieldUsage x="17"/>
        <fieldUsage x="18"/>
        <fieldUsage x="19"/>
      </fieldsUsage>
    </cacheHierarchy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0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0" unbalanced="0"/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0" unbalanced="0"/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0" unbalanced="0"/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4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4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0" unbalanced="0"/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0" unbalanced="0"/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2" unbalanced="0">
      <fieldsUsage count="2">
        <fieldUsage x="-1"/>
        <fieldUsage x="8"/>
      </fieldsUsage>
    </cacheHierarchy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6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3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3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3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3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3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3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3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3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3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3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6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3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0" unbalanced="0" hidden="1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 hidden="1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 hidden="1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 hidden="1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 hidden="1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 hidden="1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 hidden="1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 hidden="1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 hidden="1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 oneField="1">
      <fieldsUsage count="1">
        <fieldUsage x="14"/>
      </fieldsUsage>
    </cacheHierarchy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 oneField="1">
      <fieldsUsage count="1">
        <fieldUsage x="15"/>
      </fieldsUsage>
    </cacheHierarchy>
    <cacheHierarchy uniqueName="[Measures].[Карты шт]" caption="Карты шт" measure="1" displayFolder="" measureGroup="Меры карт" count="0"/>
    <cacheHierarchy uniqueName="[Measures].[Карты новые шт]" caption="Карты новые шт" measure="1" displayFolder="" measureGroup="Меры новых карт" count="0" oneField="1">
      <fieldsUsage count="1">
        <fieldUsage x="9"/>
      </fieldsUsage>
    </cacheHierarchy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 oneField="1">
      <fieldsUsage count="1">
        <fieldUsage x="12"/>
      </fieldsUsage>
    </cacheHierarchy>
    <cacheHierarchy uniqueName="[Measures].[Чеки шт]" caption="Чеки шт" measure="1" displayFolder="" measureGroup="Меры общие" count="0" oneField="1">
      <fieldsUsage count="1">
        <fieldUsage x="10"/>
      </fieldsUsage>
    </cacheHierarchy>
    <cacheHierarchy uniqueName="[Measures].[Контактов шт]" caption="Контактов шт" measure="1" displayFolder="" measureGroup="Меры контакт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 oneField="1">
      <fieldsUsage count="1">
        <fieldUsage x="13"/>
      </fieldsUsage>
    </cacheHierarchy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3">
    <dimension measure="1" name="Measures" uniqueName="[Measures]" caption="Measures"/>
    <dimension name="ГКМД на кассе" uniqueName="[ГКМД на кассе]" caption="ГКМД на кассе"/>
    <dimension name="ГКМД первой покупки" uniqueName="[ГКМД первой покупки]" caption="ГКМД первой покупки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Правила начислений и списаний бонусов" uniqueName="[Правила начислений и списаний бонусов]" caption="Правила начислений и списаний бонусов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</dimensions>
  <measureGroups count="7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маркетинговых групп" caption="Меры маркетинговых групп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84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  <map measureGroup="5" dimension="12"/>
    <map measureGroup="6" dimension="1"/>
    <map measureGroup="6" dimension="2"/>
    <map measureGroup="6" dimension="3"/>
    <map measureGroup="6" dimension="4"/>
    <map measureGroup="6" dimension="5"/>
    <map measureGroup="6" dimension="6"/>
    <map measureGroup="6" dimension="7"/>
    <map measureGroup="6" dimension="8"/>
    <map measureGroup="6" dimension="9"/>
    <map measureGroup="6" dimension="10"/>
    <map measureGroup="6" dimension="11"/>
    <map measureGroup="6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Natalya Bodneva" refreshedDate="44837.496907870373" backgroundQuery="1" createdVersion="6" refreshedVersion="6" minRefreshableVersion="3" recordCount="0" supportSubquery="1" supportAdvancedDrill="1" xr:uid="{00000000-000A-0000-FFFF-FFFF3C000000}">
  <cacheSource type="external" connectionId="1"/>
  <cacheFields count="7">
    <cacheField name="[ГКМД сервера].[ГКМД сервера].[Год]" caption="Год" numFmtId="0" hierarchy="20" level="1">
      <sharedItems count="1">
        <s v="[ГКМД сервера].[ГКМД сервера].[Год].&amp;[2022]" c="2022"/>
      </sharedItems>
    </cacheField>
    <cacheField name="[ГКМД сервера].[ГКМД сервера].[Квартал]" caption="Квартал" numFmtId="0" hierarchy="20" level="2">
      <sharedItems count="2">
        <s v="[ГКМД сервера].[ГКМД сервера].[Год].&amp;[2022].&amp;[3 кв]" c="3 кв"/>
        <s v="[ГКМД сервера].[ГКМД сервера].[Год].&amp;[2022].&amp;[4 кв]" c="4 кв"/>
      </sharedItems>
    </cacheField>
    <cacheField name="[ГКМД сервера].[ГКМД сервера].[Месяц]" caption="Месяц" numFmtId="0" hierarchy="20" level="3" mappingCount="2">
      <sharedItems count="3">
        <s v="[ГКМД сервера].[ГКМД сервера].[Год].&amp;[2022].&amp;[3 кв].&amp;[Авг]" c="Авг" cp="2">
          <x/>
          <x/>
        </s>
        <s v="[ГКМД сервера].[ГКМД сервера].[Год].&amp;[2022].&amp;[3 кв].&amp;[Сен]" c="Сен" cp="2">
          <x v="1"/>
          <x/>
        </s>
        <s v="[ГКМД сервера].[ГКМД сервера].[Год].&amp;[2022].&amp;[4 кв].&amp;[Окт]" c="Окт" cp="2">
          <x v="2"/>
          <x v="1"/>
        </s>
      </sharedItems>
      <mpMap v="4"/>
      <mpMap v="5"/>
    </cacheField>
    <cacheField name="[ГКМД сервера].[ГКМД сервера].[День]" caption="День" numFmtId="0" hierarchy="20" level="4">
      <sharedItems containsSemiMixedTypes="0" containsString="0"/>
    </cacheField>
    <cacheField name="[ГКМД сервера].[ГКМД сервера].[Месяц].[Ordering Месяц on DateS Месяц числовой]" caption="Ordering Месяц on DateS Месяц числовой" propertyName="Ordering Месяц on DateS Месяц числовой" numFmtId="0" hierarchy="20" level="3" memberPropertyField="1">
      <sharedItems containsSemiMixedTypes="0" containsString="0" containsNumber="1" containsInteger="1" minValue="8" maxValue="10" count="3">
        <n v="8"/>
        <n v="9"/>
        <n v="10"/>
      </sharedItems>
    </cacheField>
    <cacheField name="[ГКМД сервера].[ГКМД сервера].[Месяц].[Квартал]" caption="Квартал" propertyName="Квартал" numFmtId="0" hierarchy="20" level="3" memberPropertyField="1">
      <sharedItems count="2">
        <s v="3 кв"/>
        <s v="4 кв"/>
      </sharedItems>
    </cacheField>
    <cacheField name="[Measures].[Карты новые шт]" caption="Карты новые шт" numFmtId="0" hierarchy="353" level="32767"/>
  </cacheFields>
  <cacheHierarchies count="410"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5" unbalanced="0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5" unbalanced="0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0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0" unbalanced="0"/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0" unbalanced="0"/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0" unbalanced="0"/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4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4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0" unbalanced="0"/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0" unbalanced="0"/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0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0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3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3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3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3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3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3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3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3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3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0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0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0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0" unbalanced="0" hidden="1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 hidden="1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 hidden="1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 hidden="1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 hidden="1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 hidden="1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 hidden="1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 hidden="1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 hidden="1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/>
    <cacheHierarchy uniqueName="[Measures].[Карты шт]" caption="Карты шт" measure="1" displayFolder="" measureGroup="Меры карт" count="0"/>
    <cacheHierarchy uniqueName="[Measures].[Карты новые шт]" caption="Карты новые шт" measure="1" displayFolder="" measureGroup="Меры новых карт" count="0" oneField="1">
      <fieldsUsage count="1">
        <fieldUsage x="6"/>
      </fieldsUsage>
    </cacheHierarchy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/>
    <cacheHierarchy uniqueName="[Measures].[Чеки шт]" caption="Чеки шт" measure="1" displayFolder="" measureGroup="Меры общие" count="0"/>
    <cacheHierarchy uniqueName="[Measures].[Контактов шт]" caption="Контактов шт" measure="1" displayFolder="" measureGroup="Меры контакт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3">
    <dimension measure="1" name="Measures" uniqueName="[Measures]" caption="Measures"/>
    <dimension name="ГКМД на кассе" uniqueName="[ГКМД на кассе]" caption="ГКМД на кассе"/>
    <dimension name="ГКМД первой покупки" uniqueName="[ГКМД первой покупки]" caption="ГКМД первой покупки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Правила начислений и списаний бонусов" uniqueName="[Правила начислений и списаний бонусов]" caption="Правила начислений и списаний бонусов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</dimensions>
  <measureGroups count="7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маркетинговых групп" caption="Меры маркетинговых групп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84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  <map measureGroup="5" dimension="12"/>
    <map measureGroup="6" dimension="1"/>
    <map measureGroup="6" dimension="2"/>
    <map measureGroup="6" dimension="3"/>
    <map measureGroup="6" dimension="4"/>
    <map measureGroup="6" dimension="5"/>
    <map measureGroup="6" dimension="6"/>
    <map measureGroup="6" dimension="7"/>
    <map measureGroup="6" dimension="8"/>
    <map measureGroup="6" dimension="9"/>
    <map measureGroup="6" dimension="10"/>
    <map measureGroup="6" dimension="11"/>
    <map measureGroup="6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Наталья Боднева" refreshedDate="44838.435957060188" backgroundQuery="1" createdVersion="6" refreshedVersion="6" minRefreshableVersion="3" recordCount="0" supportSubquery="1" supportAdvancedDrill="1" xr:uid="{D85C009E-515C-4110-A1B5-57110B9962FB}">
  <cacheSource type="external" connectionId="2"/>
  <cacheFields count="6">
    <cacheField name="[Measures].[Выручка общая]" caption="Выручка общая" numFmtId="0" hierarchy="35" level="32767"/>
    <cacheField name="[Календарь].[ГКМД].[Год]" caption="Год" numFmtId="0" hierarchy="2" level="1">
      <sharedItems containsSemiMixedTypes="0" containsString="0"/>
    </cacheField>
    <cacheField name="[Календарь].[ГКМД].[Месяц]" caption="Месяц" numFmtId="0" hierarchy="2" level="2">
      <sharedItems containsSemiMixedTypes="0" containsString="0"/>
    </cacheField>
    <cacheField name="[Календарь].[ГКМД].[День]" caption="День" numFmtId="0" hierarchy="2" level="3">
      <sharedItems containsSemiMixedTypes="0" containsString="0"/>
    </cacheField>
    <cacheField name="[Магазины].[Код магазина].[Код магазина]" caption="Код магазина" numFmtId="0" hierarchy="8" level="1">
      <sharedItems count="54">
        <s v="[Магазины].[Код магазина].&amp;[8000]" c="8000"/>
        <s v="[Магазины].[Код магазина].&amp;[8001]" c="8001"/>
        <s v="[Магазины].[Код магазина].&amp;[8003]" c="8003"/>
        <s v="[Магазины].[Код магазина].&amp;[8004]" c="8004"/>
        <s v="[Магазины].[Код магазина].&amp;[8005]" c="8005"/>
        <s v="[Магазины].[Код магазина].&amp;[8006]" c="8006"/>
        <s v="[Магазины].[Код магазина].&amp;[8009]" c="8009"/>
        <s v="[Магазины].[Код магазина].&amp;[8010]" c="8010"/>
        <s v="[Магазины].[Код магазина].&amp;[8011]" c="8011"/>
        <s v="[Магазины].[Код магазина].&amp;[8012]" c="8012"/>
        <s v="[Магазины].[Код магазина].&amp;[8014]" c="8014"/>
        <s v="[Магазины].[Код магазина].&amp;[8015]" c="8015"/>
        <s v="[Магазины].[Код магазина].&amp;[8016]" c="8016"/>
        <s v="[Магазины].[Код магазина].&amp;[8017]" c="8017"/>
        <s v="[Магазины].[Код магазина].&amp;[8018]" c="8018"/>
        <s v="[Магазины].[Код магазина].&amp;[8019]" c="8019"/>
        <s v="[Магазины].[Код магазина].&amp;[8020]" c="8020"/>
        <s v="[Магазины].[Код магазина].&amp;[8022]" c="8022"/>
        <s v="[Магазины].[Код магазина].&amp;[8023]" c="8023"/>
        <s v="[Магазины].[Код магазина].&amp;[8024]" c="8024"/>
        <s v="[Магазины].[Код магазина].&amp;[8025]" c="8025"/>
        <s v="[Магазины].[Код магазина].&amp;[8026]" c="8026"/>
        <s v="[Магазины].[Код магазина].&amp;[8027]" c="8027"/>
        <s v="[Магазины].[Код магазина].&amp;[8029]" c="8029"/>
        <s v="[Магазины].[Код магазина].&amp;[8032]" c="8032"/>
        <s v="[Магазины].[Код магазина].&amp;[8035]" c="8035"/>
        <s v="[Магазины].[Код магазина].&amp;[8036]" c="8036"/>
        <s v="[Магазины].[Код магазина].&amp;[8039]" c="8039"/>
        <s v="[Магазины].[Код магазина].&amp;[8054]" c="8054"/>
        <s v="[Магазины].[Код магазина].&amp;[8057]" c="8057"/>
        <s v="[Магазины].[Код магазина].&amp;[8058]" c="8058"/>
        <s v="[Магазины].[Код магазина].&amp;[8059]" c="8059"/>
        <s v="[Магазины].[Код магазина].&amp;[8061]" c="8061"/>
        <s v="[Магазины].[Код магазина].&amp;[8062]" c="8062"/>
        <s v="[Магазины].[Код магазина].&amp;[8063]" c="8063"/>
        <s v="[Магазины].[Код магазина].&amp;[8064]" c="8064"/>
        <s v="[Магазины].[Код магазина].&amp;[8065]" c="8065"/>
        <s v="[Магазины].[Код магазина].&amp;[8067]" c="8067"/>
        <s v="[Магазины].[Код магазина].&amp;[8068]" c="8068"/>
        <s v="[Магазины].[Код магазина].&amp;[8069]" c="8069"/>
        <s v="[Магазины].[Код магазина].&amp;[8070]" c="8070"/>
        <s v="[Магазины].[Код магазина].&amp;[8071]" c="8071"/>
        <s v="[Магазины].[Код магазина].&amp;[8073]" c="8073"/>
        <s v="[Магазины].[Код магазина].&amp;[8074]" c="8074"/>
        <s v="[Магазины].[Код магазина].&amp;[8075]" c="8075"/>
        <s v="[Магазины].[Код магазина].&amp;[8076]" c="8076"/>
        <s v="[Магазины].[Код магазина].&amp;[8078]" c="8078"/>
        <s v="[Магазины].[Код магазина].&amp;[8079]" c="8079"/>
        <s v="[Магазины].[Код магазина].&amp;[8080]" c="8080"/>
        <s v="[Магазины].[Код магазина].&amp;[8081]" c="8081"/>
        <s v="[Магазины].[Код магазина].&amp;[8082]" c="8082"/>
        <s v="[Магазины].[Код магазина].&amp;[8083]" c="8083"/>
        <s v="[Магазины].[Код магазина].&amp;[8084]" c="8084"/>
        <s v="[Магазины].[Код магазина].&amp;" c=""/>
      </sharedItems>
    </cacheField>
    <cacheField name="[Measures].[Количество чеков общее]" caption="Количество чеков общее" numFmtId="0" hierarchy="36" level="32767"/>
  </cacheFields>
  <cacheHierarchies count="39">
    <cacheHierarchy uniqueName="[ДагАптека].[Номер чека]" caption="Номер чека" attribute="1" defaultMemberUniqueName="[ДагАптека].[Номер чека].[All]" allUniqueName="[ДагАптека].[Номер чека].[All]" dimensionUniqueName="[ДагАптека]" displayFolder="" count="0" unbalanced="0"/>
    <cacheHierarchy uniqueName="[ДагАптека].[Сумма]" caption="Сумма" attribute="1" defaultMemberUniqueName="[ДагАптека].[Сумма].[All]" allUniqueName="[ДагАптека].[Сумма].[All]" dimensionUniqueName="[ДагАптека]" displayFolder="" count="0" unbalanced="0"/>
    <cacheHierarchy uniqueName="[Календарь].[ГКМД]" caption="ГКМД" defaultMemberUniqueName="[Календарь].[ГКМД].[All]" allUniqueName="[Календарь].[ГКМД].[All]" dimensionUniqueName="[Календарь]" displayFolder="" count="4" unbalanced="0">
      <fieldsUsage count="4">
        <fieldUsage x="-1"/>
        <fieldUsage x="1"/>
        <fieldUsage x="2"/>
        <fieldUsage x="3"/>
      </fieldsUsage>
    </cacheHierarchy>
    <cacheHierarchy uniqueName="[Календарь].[Год]" caption="Год" attribute="1" defaultMemberUniqueName="[Календарь].[Год].[All]" allUniqueName="[Календарь].[Год].[All]" dimensionUniqueName="[Календарь]" displayFolder="" count="0" unbalanced="0"/>
    <cacheHierarchy uniqueName="[Календарь].[День]" caption="День" attribute="1" defaultMemberUniqueName="[Календарь].[День].[All]" allUniqueName="[Календарь].[День].[All]" dimensionUniqueName="[Календарь]" displayFolder="" count="0" unbalanced="0"/>
    <cacheHierarchy uniqueName="[Календарь].[Месяц]" caption="Месяц" attribute="1" defaultMemberUniqueName="[Календарь].[Месяц].[All]" allUniqueName="[Календарь].[Месяц].[All]" dimensionUniqueName="[Календарь]" displayFolder="" count="0" unbalanced="0"/>
    <cacheHierarchy uniqueName="[Календарь].[Номер квартала]" caption="Номер квартала" attribute="1" defaultMemberUniqueName="[Календарь].[Номер квартала].[All]" allUniqueName="[Календарь].[Номер квартала].[All]" dimensionUniqueName="[Календарь]" displayFolder="" count="0" unbalanced="0"/>
    <cacheHierarchy uniqueName="[Календарь].[Номер месяца]" caption="Номер месяца" attribute="1" defaultMemberUniqueName="[Календарь].[Номер месяца].[All]" allUniqueName="[Календарь].[Номер месяца].[All]" dimensionUniqueName="[Календарь]" displayFolder="" count="0" unbalanced="0"/>
    <cacheHierarchy uniqueName="[Магазины].[Код магазина]" caption="Код магазина" attribute="1" defaultMemberUniqueName="[Магазины].[Код магазина].[All]" allUniqueName="[Магазины].[Код магазина].[All]" dimensionUniqueName="[Магазины]" displayFolder="" count="2" unbalanced="0">
      <fieldsUsage count="2">
        <fieldUsage x="-1"/>
        <fieldUsage x="4"/>
      </fieldsUsage>
    </cacheHierarchy>
    <cacheHierarchy uniqueName="[Магазины].[Наименование магазина]" caption="Наименование магазина" attribute="1" defaultMemberUniqueName="[Магазины].[Наименование магазина].[All]" allUniqueName="[Магазины].[Наименование магазина].[All]" dimensionUniqueName="[Магазины]" displayFolder="" count="0" unbalanced="0"/>
    <cacheHierarchy uniqueName="[DateTableTemplate_055ef5d6-eda9-43d2-8575-dc5cc50d688c].[Date]" caption="Date" attribute="1" defaultMemberUniqueName="[DateTableTemplate_055ef5d6-eda9-43d2-8575-dc5cc50d688c].[Date].[All]" allUniqueName="[DateTableTemplate_055ef5d6-eda9-43d2-8575-dc5cc50d688c].[Date].[All]" dimensionUniqueName="[DateTableTemplate_055ef5d6-eda9-43d2-8575-dc5cc50d688c]" displayFolder="" count="0" unbalanced="0" hidden="1"/>
    <cacheHierarchy uniqueName="[DateTableTemplate_055ef5d6-eda9-43d2-8575-dc5cc50d688c].[№Квартала]" caption="№Квартала" attribute="1" defaultMemberUniqueName="[DateTableTemplate_055ef5d6-eda9-43d2-8575-dc5cc50d688c].[№Квартала].[All]" allUniqueName="[DateTableTemplate_055ef5d6-eda9-43d2-8575-dc5cc50d688c].[№Квартала].[All]" dimensionUniqueName="[DateTableTemplate_055ef5d6-eda9-43d2-8575-dc5cc50d688c]" displayFolder="" count="0" unbalanced="0" hidden="1"/>
    <cacheHierarchy uniqueName="[DateTableTemplate_055ef5d6-eda9-43d2-8575-dc5cc50d688c].[№Месяца]" caption="№Месяца" attribute="1" defaultMemberUniqueName="[DateTableTemplate_055ef5d6-eda9-43d2-8575-dc5cc50d688c].[№Месяца].[All]" allUniqueName="[DateTableTemplate_055ef5d6-eda9-43d2-8575-dc5cc50d688c].[№Месяца].[All]" dimensionUniqueName="[DateTableTemplate_055ef5d6-eda9-43d2-8575-dc5cc50d688c]" displayFolder="" count="0" unbalanced="0" hidden="1"/>
    <cacheHierarchy uniqueName="[DateTableTemplate_055ef5d6-eda9-43d2-8575-dc5cc50d688c].[Год]" caption="Год" attribute="1" defaultMemberUniqueName="[DateTableTemplate_055ef5d6-eda9-43d2-8575-dc5cc50d688c].[Год].[All]" allUniqueName="[DateTableTemplate_055ef5d6-eda9-43d2-8575-dc5cc50d688c].[Год].[All]" dimensionUniqueName="[DateTableTemplate_055ef5d6-eda9-43d2-8575-dc5cc50d688c]" displayFolder="" count="0" unbalanced="0" hidden="1"/>
    <cacheHierarchy uniqueName="[DateTableTemplate_055ef5d6-eda9-43d2-8575-dc5cc50d688c].[День]" caption="День" attribute="1" defaultMemberUniqueName="[DateTableTemplate_055ef5d6-eda9-43d2-8575-dc5cc50d688c].[День].[All]" allUniqueName="[DateTableTemplate_055ef5d6-eda9-43d2-8575-dc5cc50d688c].[День].[All]" dimensionUniqueName="[DateTableTemplate_055ef5d6-eda9-43d2-8575-dc5cc50d688c]" displayFolder="" count="0" unbalanced="0" hidden="1"/>
    <cacheHierarchy uniqueName="[DateTableTemplate_055ef5d6-eda9-43d2-8575-dc5cc50d688c].[Иерархия дат]" caption="Иерархия дат" defaultMemberUniqueName="[DateTableTemplate_055ef5d6-eda9-43d2-8575-dc5cc50d688c].[Иерархия дат].[All]" allUniqueName="[DateTableTemplate_055ef5d6-eda9-43d2-8575-dc5cc50d688c].[Иерархия дат].[All]" dimensionUniqueName="[DateTableTemplate_055ef5d6-eda9-43d2-8575-dc5cc50d688c]" displayFolder="" count="0" unbalanced="0" hidden="1"/>
    <cacheHierarchy uniqueName="[DateTableTemplate_055ef5d6-eda9-43d2-8575-dc5cc50d688c].[Квартал]" caption="Квартал" attribute="1" defaultMemberUniqueName="[DateTableTemplate_055ef5d6-eda9-43d2-8575-dc5cc50d688c].[Квартал].[All]" allUniqueName="[DateTableTemplate_055ef5d6-eda9-43d2-8575-dc5cc50d688c].[Квартал].[All]" dimensionUniqueName="[DateTableTemplate_055ef5d6-eda9-43d2-8575-dc5cc50d688c]" displayFolder="" count="0" unbalanced="0" hidden="1"/>
    <cacheHierarchy uniqueName="[DateTableTemplate_055ef5d6-eda9-43d2-8575-dc5cc50d688c].[Месяц]" caption="Месяц" attribute="1" defaultMemberUniqueName="[DateTableTemplate_055ef5d6-eda9-43d2-8575-dc5cc50d688c].[Месяц].[All]" allUniqueName="[DateTableTemplate_055ef5d6-eda9-43d2-8575-dc5cc50d688c].[Месяц].[All]" dimensionUniqueName="[DateTableTemplate_055ef5d6-eda9-43d2-8575-dc5cc50d688c]" displayFolder="" count="0" unbalanced="0" hidden="1"/>
    <cacheHierarchy uniqueName="[LocalDateTable_5e512c8c-fe95-4341-949d-64325a11a1e6].[Date]" caption="Date" attribute="1" defaultMemberUniqueName="[LocalDateTable_5e512c8c-fe95-4341-949d-64325a11a1e6].[Date].[All]" allUniqueName="[LocalDateTable_5e512c8c-fe95-4341-949d-64325a11a1e6].[Date].[All]" dimensionUniqueName="[LocalDateTable_5e512c8c-fe95-4341-949d-64325a11a1e6]" displayFolder="" count="0" unbalanced="0" hidden="1"/>
    <cacheHierarchy uniqueName="[LocalDateTable_5e512c8c-fe95-4341-949d-64325a11a1e6].[№Квартала]" caption="№Квартала" attribute="1" defaultMemberUniqueName="[LocalDateTable_5e512c8c-fe95-4341-949d-64325a11a1e6].[№Квартала].[All]" allUniqueName="[LocalDateTable_5e512c8c-fe95-4341-949d-64325a11a1e6].[№Квартала].[All]" dimensionUniqueName="[LocalDateTable_5e512c8c-fe95-4341-949d-64325a11a1e6]" displayFolder="" count="0" unbalanced="0" hidden="1"/>
    <cacheHierarchy uniqueName="[LocalDateTable_5e512c8c-fe95-4341-949d-64325a11a1e6].[№Месяца]" caption="№Месяца" attribute="1" defaultMemberUniqueName="[LocalDateTable_5e512c8c-fe95-4341-949d-64325a11a1e6].[№Месяца].[All]" allUniqueName="[LocalDateTable_5e512c8c-fe95-4341-949d-64325a11a1e6].[№Месяца].[All]" dimensionUniqueName="[LocalDateTable_5e512c8c-fe95-4341-949d-64325a11a1e6]" displayFolder="" count="0" unbalanced="0" hidden="1"/>
    <cacheHierarchy uniqueName="[LocalDateTable_5e512c8c-fe95-4341-949d-64325a11a1e6].[Год]" caption="Год" attribute="1" defaultMemberUniqueName="[LocalDateTable_5e512c8c-fe95-4341-949d-64325a11a1e6].[Год].[All]" allUniqueName="[LocalDateTable_5e512c8c-fe95-4341-949d-64325a11a1e6].[Год].[All]" dimensionUniqueName="[LocalDateTable_5e512c8c-fe95-4341-949d-64325a11a1e6]" displayFolder="" count="0" unbalanced="0" hidden="1"/>
    <cacheHierarchy uniqueName="[LocalDateTable_5e512c8c-fe95-4341-949d-64325a11a1e6].[День]" caption="День" attribute="1" defaultMemberUniqueName="[LocalDateTable_5e512c8c-fe95-4341-949d-64325a11a1e6].[День].[All]" allUniqueName="[LocalDateTable_5e512c8c-fe95-4341-949d-64325a11a1e6].[День].[All]" dimensionUniqueName="[LocalDateTable_5e512c8c-fe95-4341-949d-64325a11a1e6]" displayFolder="" count="0" unbalanced="0" hidden="1"/>
    <cacheHierarchy uniqueName="[LocalDateTable_5e512c8c-fe95-4341-949d-64325a11a1e6].[Иерархия дат]" caption="Иерархия дат" defaultMemberUniqueName="[LocalDateTable_5e512c8c-fe95-4341-949d-64325a11a1e6].[Иерархия дат].[All]" allUniqueName="[LocalDateTable_5e512c8c-fe95-4341-949d-64325a11a1e6].[Иерархия дат].[All]" dimensionUniqueName="[LocalDateTable_5e512c8c-fe95-4341-949d-64325a11a1e6]" displayFolder="" count="0" unbalanced="0" hidden="1"/>
    <cacheHierarchy uniqueName="[LocalDateTable_5e512c8c-fe95-4341-949d-64325a11a1e6].[Квартал]" caption="Квартал" attribute="1" defaultMemberUniqueName="[LocalDateTable_5e512c8c-fe95-4341-949d-64325a11a1e6].[Квартал].[All]" allUniqueName="[LocalDateTable_5e512c8c-fe95-4341-949d-64325a11a1e6].[Квартал].[All]" dimensionUniqueName="[LocalDateTable_5e512c8c-fe95-4341-949d-64325a11a1e6]" displayFolder="" count="0" unbalanced="0" hidden="1"/>
    <cacheHierarchy uniqueName="[LocalDateTable_5e512c8c-fe95-4341-949d-64325a11a1e6].[Месяц]" caption="Месяц" attribute="1" defaultMemberUniqueName="[LocalDateTable_5e512c8c-fe95-4341-949d-64325a11a1e6].[Месяц].[All]" allUniqueName="[LocalDateTable_5e512c8c-fe95-4341-949d-64325a11a1e6].[Месяц].[All]" dimensionUniqueName="[LocalDateTable_5e512c8c-fe95-4341-949d-64325a11a1e6]" displayFolder="" count="0" unbalanced="0" hidden="1"/>
    <cacheHierarchy uniqueName="[ДагАптека].[quantity]" caption="quantity" attribute="1" defaultMemberUniqueName="[ДагАптека].[quantity].[All]" allUniqueName="[ДагАптека].[quantity].[All]" dimensionUniqueName="[ДагАптека]" displayFolder="" count="0" unbalanced="0" hidden="1"/>
    <cacheHierarchy uniqueName="[ДагАптека].[дата чека]" caption="дата чека" attribute="1" defaultMemberUniqueName="[ДагАптека].[дата чека].[All]" allUniqueName="[ДагАптека].[дата чека].[All]" dimensionUniqueName="[ДагАптека]" displayFolder="" count="0" unbalanced="0" hidden="1"/>
    <cacheHierarchy uniqueName="[ДагАптека].[код аптеки]" caption="код аптеки" attribute="1" defaultMemberUniqueName="[ДагАптека].[код аптеки].[All]" allUniqueName="[ДагАптека].[код аптеки].[All]" dimensionUniqueName="[ДагАптека]" displayFolder="" count="0" unbalanced="0" hidden="1"/>
    <cacheHierarchy uniqueName="[ДагАптека].[Код товара]" caption="Код товара" attribute="1" defaultMemberUniqueName="[ДагАптека].[Код товара].[All]" allUniqueName="[ДагАптека].[Код товара].[All]" dimensionUniqueName="[ДагАптека]" displayFolder="" count="0" unbalanced="0" hidden="1"/>
    <cacheHierarchy uniqueName="[ДагАптека].[Код товара2]" caption="Код товара2" attribute="1" defaultMemberUniqueName="[ДагАптека].[Код товара2].[All]" allUniqueName="[ДагАптека].[Код товара2].[All]" dimensionUniqueName="[ДагАптека]" displayFolder="" count="0" unbalanced="0" hidden="1"/>
    <cacheHierarchy uniqueName="[ДагАптека].[Номер чека_2]" caption="Номер чека_2" attribute="1" defaultMemberUniqueName="[ДагАптека].[Номер чека_2].[All]" allUniqueName="[ДагАптека].[Номер чека_2].[All]" dimensionUniqueName="[ДагАптека]" displayFolder="" count="0" unbalanced="0" hidden="1"/>
    <cacheHierarchy uniqueName="[ДагАптека].[скидка]" caption="скидка" attribute="1" defaultMemberUniqueName="[ДагАптека].[скидка].[All]" allUniqueName="[ДагАптека].[скидка].[All]" dimensionUniqueName="[ДагАптека]" displayFolder="" count="0" unbalanced="0" hidden="1"/>
    <cacheHierarchy uniqueName="[ДагАптека].[цена]" caption="цена" attribute="1" defaultMemberUniqueName="[ДагАптека].[цена].[All]" allUniqueName="[ДагАптека].[цена].[All]" dimensionUniqueName="[ДагАптека]" displayFolder="" count="0" unbalanced="0" hidden="1"/>
    <cacheHierarchy uniqueName="[Календарь].[Date]" caption="Date" attribute="1" defaultMemberUniqueName="[Календарь].[Date].[All]" allUniqueName="[Календарь].[Date].[All]" dimensionUniqueName="[Календарь]" displayFolder="" count="0" unbalanced="0" hidden="1"/>
    <cacheHierarchy uniqueName="[Measures].[Выручка общая]" caption="Выручка общая" measure="1" displayFolder="" measureGroup="ДагАптека" count="0" oneField="1">
      <fieldsUsage count="1">
        <fieldUsage x="0"/>
      </fieldsUsage>
    </cacheHierarchy>
    <cacheHierarchy uniqueName="[Measures].[Количество чеков общее]" caption="Количество чеков общее" measure="1" displayFolder="" measureGroup="ДагАптека" count="0" oneField="1">
      <fieldsUsage count="1">
        <fieldUsage x="5"/>
      </fieldsUsage>
    </cacheHierarchy>
    <cacheHierarchy uniqueName="[Measures].[Скидка, руб]" caption="Скидка, руб" measure="1" displayFolder="" measureGroup="ДагАптека" count="0"/>
    <cacheHierarchy uniqueName="[Measures].[__Default measure]" caption="__Default measure" measure="1" displayFolder="" count="0" hidden="1"/>
  </cacheHierarchies>
  <kpis count="0"/>
  <dimensions count="4">
    <dimension measure="1" name="Measures" uniqueName="[Measures]" caption="Measures"/>
    <dimension name="ДагАптека" uniqueName="[ДагАптека]" caption="ДагАптека"/>
    <dimension name="Календарь" uniqueName="[Календарь]" caption="Календарь"/>
    <dimension name="Магазины" uniqueName="[Магазины]" caption="Магазины"/>
  </dimensions>
  <measureGroups count="5">
    <measureGroup name="DateTableTemplate_055ef5d6-eda9-43d2-8575-dc5cc50d688c" caption="DateTableTemplate_055ef5d6-eda9-43d2-8575-dc5cc50d688c"/>
    <measureGroup name="LocalDateTable_5e512c8c-fe95-4341-949d-64325a11a1e6" caption="LocalDateTable_5e512c8c-fe95-4341-949d-64325a11a1e6"/>
    <measureGroup name="ДагАптека" caption="ДагАптека"/>
    <measureGroup name="Календарь" caption="Календарь"/>
    <measureGroup name="Магазины" caption="Магазины"/>
  </measureGroups>
  <maps count="5">
    <map measureGroup="2" dimension="1"/>
    <map measureGroup="2" dimension="2"/>
    <map measureGroup="2" dimension="3"/>
    <map measureGroup="3" dimension="2"/>
    <map measureGroup="4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Наталья Боднева" refreshedDate="44838.436211689812" backgroundQuery="1" createdVersion="6" refreshedVersion="6" minRefreshableVersion="3" recordCount="0" supportSubquery="1" supportAdvancedDrill="1" xr:uid="{00000000-000A-0000-FFFF-FFFF13000000}">
  <cacheSource type="external" connectionId="1"/>
  <cacheFields count="12">
    <cacheField name="[ГКМД на кассе].[Год].[Год]" caption="Год" numFmtId="0" hierarchy="1" level="1">
      <sharedItems containsSemiMixedTypes="0" containsString="0"/>
    </cacheField>
    <cacheField name="[ГКМД на кассе].[Месяц Числовой].[Месяц Числовой]" caption="Месяц Числовой" numFmtId="0" hierarchy="8" level="1">
      <sharedItems containsSemiMixedTypes="0" containsString="0"/>
    </cacheField>
    <cacheField name="[ГКМД на кассе].[Месяц Числовой].[Месяц Числовой].[Месяц]" caption="Месяц" propertyName="Месяц" numFmtId="0" hierarchy="8" level="1" memberPropertyField="1">
      <sharedItems containsSemiMixedTypes="0" containsString="0"/>
    </cacheField>
    <cacheField name="[Организации].[Магазин].[Магазин]" caption="Магазин" numFmtId="0" hierarchy="96" level="1">
      <sharedItems count="53">
        <s v="[Организации].[Магазин].&amp;[Бабаюрт, ул. Дж.Алиева, 30]" c="Бабаюрт, ул. Дж.Алиева, 30"/>
        <s v="[Организации].[Магазин].&amp;[Избербаш, ул. Маяковского, 114а]" c="Избербаш, ул. Маяковского, 114а"/>
        <s v="[Организации].[Магазин].&amp;[Каспийск, ул. Абдулманапова, 6Б]" c="Каспийск, ул. Абдулманапова, 6Б"/>
        <s v="[Организации].[Магазин].&amp;[Каспийск, ул. Азиза Алиева, 2а]" c="Каспийск, ул. Азиза Алиева, 2а"/>
        <s v="[Организации].[Магазин].&amp;[Каспийск, ул. Каспийская, 6 А]" c="Каспийск, ул. Каспийская, 6 А"/>
        <s v="[Организации].[Магазин].&amp;[Каспийск, ул. Ленина 52ж ( ДФ+)]" c="Каспийск, ул. Ленина 52ж ( ДФ+)"/>
        <s v="[Организации].[Магазин].&amp;[Каспийск, ул. Ленина,13]" c="Каспийск, ул. Ленина,13"/>
        <s v="[Организации].[Магазин].&amp;[Каспийск, ул. Ленина,54]" c="Каспийск, ул. Ленина,54"/>
        <s v="[Организации].[Магазин].&amp;[Каспийск, ул. Сулеймана Стальского, 1]" c="Каспийск, ул. Сулеймана Стальского, 1"/>
        <s v="[Организации].[Магазин].&amp;[Махачкала, мкр. Караман-7, Федеральное шоссе, 56]" c="Махачкала, мкр. Караман-7, Федеральное шоссе, 56"/>
        <s v="[Организации].[Магазин].&amp;[Махачкала, п. Семендер, пр. Казбекова, 32]" c="Махачкала, п. Семендер, пр. Казбекова, 32"/>
        <s v="[Организации].[Магазин].&amp;[Махачкала, пр. А.Акушинского, 1А (Им.Шамиля, 4 в)]" c="Махачкала, пр. А.Акушинского, 1А (Им.Шамиля, 4 в)"/>
        <s v="[Организации].[Магазин].&amp;[Махачкала, пр. А.Акушинского, 34]" c="Махачкала, пр. А.Акушинского, 34"/>
        <s v="[Организации].[Магазин].&amp;[Махачкала, пр. Амет-Хана Султана, 6/4 (Ахмет-хана Султана, 4/7)]" c="Махачкала, пр. Амет-Хана Султана, 6/4 (Ахмет-хана Султана, 4/7)"/>
        <s v="[Организации].[Магазин].&amp;[Махачкала, пр. Амет-Хана Султана, 6К (ДФ+)]" c="Махачкала, пр. Амет-Хана Султана, 6К (ДФ+)"/>
        <s v="[Организации].[Магазин].&amp;[Махачкала, пр. Гамидова, 12]" c="Махачкала, пр. Гамидова, 12"/>
        <s v="[Организации].[Магазин].&amp;[Махачкала, пр. Гамидова, 48]" c="Махачкала, пр. Гамидова, 48"/>
        <s v="[Организации].[Магазин].&amp;[Махачкала, пр. Гамидова, 57]" c="Махачкала, пр. Гамидова, 57"/>
        <s v="[Организации].[Магазин].&amp;[Махачкала, пр. Им. Шамиля, 45]" c="Махачкала, пр. Им. Шамиля, 45"/>
        <s v="[Организации].[Магазин].&amp;[Махачкала, пр. Им.Шамиля,  35&quot;А&quot;]" c="Махачкала, пр. Им.Шамиля,  35&quot;А&quot;"/>
        <s v="[Организации].[Магазин].&amp;[Махачкала, пр. Им.Шамиля, 101]" c="Махачкала, пр. Им.Шамиля, 101"/>
        <s v="[Организации].[Магазин].&amp;[Махачкала, пр. Им.Шамиля, 32а]" c="Махачкала, пр. Им.Шамиля, 32а"/>
        <s v="[Организации].[Магазин].&amp;[Махачкала, пр. Насрутдинова, 30к (пр. Петра I, 44е)]" c="Махачкала, пр. Насрутдинова, 30к (пр. Петра I, 44е)"/>
        <s v="[Организации].[Магазин].&amp;[Махачкала, пр. Петра 1, 25 Б (Петра 1, 73А)]" c="Махачкала, пр. Петра 1, 25 Б (Петра 1, 73А)"/>
        <s v="[Организации].[Магазин].&amp;[Махачкала, пр. Петра I ,135 (ДФ+)]" c="Махачкала, пр. Петра I ,135 (ДФ+)"/>
        <s v="[Организации].[Магазин].&amp;[Махачкала, пр. Петра I ,135 (Петра 1, 59 Р)]" c="Махачкала, пр. Петра I ,135 (Петра 1, 59 Р)"/>
        <s v="[Организации].[Магазин].&amp;[Махачкала, пр. Р.Гамзатова, 119]" c="Махачкала, пр. Р.Гамзатова, 119"/>
        <s v="[Организации].[Магазин].&amp;[Махачкала, ул. Абдулхакима Исмаилова, 32 (ДФ+)]" c="Махачкала, ул. Абдулхакима Исмаилова, 32 (ДФ+)"/>
        <s v="[Организации].[Магазин].&amp;[Махачкала, ул. Абдулы Алиева, 4А (Абдулы Алиева, 18)]" c="Махачкала, ул. Абдулы Алиева, 4А (Абдулы Алиева, 18)"/>
        <s v="[Организации].[Магазин].&amp;[Махачкала, ул. Азиза Алиева, 9А]" c="Махачкала, ул. Азиза Алиева, 9А"/>
        <s v="[Организации].[Магазин].&amp;[Махачкала, ул. Айвазовского, 2И (ДФ+)]" c="Махачкала, ул. Айвазовского, 2И (ДФ+)"/>
        <s v="[Организации].[Магазин].&amp;[Махачкала, ул. Айвазовского, 4А/2 (пр. А.Акушинского, 361)]" c="Махачкала, ул. Айвазовского, 4А/2 (пр. А.Акушинского, 361)"/>
        <s v="[Организации].[Магазин].&amp;[Махачкала, ул. Габитова, 2 (пр. Насрутдинова, 49 А)]" c="Махачкала, ул. Габитова, 2 (пр. Насрутдинова, 49 А)"/>
        <s v="[Организации].[Магазин].&amp;[Махачкала, ул. Гайдара Гаджиева,14ж/3]" c="Махачкала, ул. Гайдара Гаджиева,14ж/3"/>
        <s v="[Организации].[Магазин].&amp;[Махачкала, ул. Каммаева, 19 &quot;в&quot;]" c="Махачкала, ул. Каммаева, 19 &quot;в&quot;"/>
        <s v="[Организации].[Магазин].&amp;[Махачкала, ул. Каммаева, 4Б (Каммаева, 14)]" c="Махачкала, ул. Каммаева, 4Б (Каммаева, 14)"/>
        <s v="[Организации].[Магазин].&amp;[Махачкала, ул. Каммаева, 89 А (Каммаева, 15Б/1)]" c="Махачкала, ул. Каммаева, 89 А (Каммаева, 15Б/1)"/>
        <s v="[Организации].[Магазин].&amp;[Махачкала, ул. М.Гаджиева, 194]" c="Махачкала, ул. М.Гаджиева, 194"/>
        <s v="[Организации].[Магазин].&amp;[Махачкала, ул. М.Гаджиева, 7]" c="Махачкала, ул. М.Гаджиева, 7"/>
        <s v="[Организации].[Магазин].&amp;[Махачкала, ул. М.Ярагского, 71]" c="Махачкала, ул. М.Ярагского, 71"/>
        <s v="[Организации].[Магазин].&amp;[Махачкала, ул. М.Ярагского, 80]" c="Махачкала, ул. М.Ярагского, 80"/>
        <s v="[Организации].[Магазин].&amp;[Махачкала, ул. Магомедтагирова,176Г (Магомедтагирова 176Е)]" c="Махачкала, ул. Магомедтагирова,176Г (Магомедтагирова 176Е)"/>
        <s v="[Организации].[Магазин].&amp;[Махачкала, ул. О.Кошевого, 37]" c="Махачкала, ул. О.Кошевого, 37"/>
        <s v="[Организации].[Магазин].&amp;[Махачкала, ул. Радищева, 3]" c="Махачкала, ул. Радищева, 3"/>
        <s v="[Организации].[Магазин].&amp;[Махачкала, ул. Радужная, 4]" c="Махачкала, ул. Радужная, 4"/>
        <s v="[Организации].[Магазин].&amp;[Махачкала, ул. Талгинская, 19]" c="Махачкала, ул. Талгинская, 19"/>
        <s v="[Организации].[Магазин].&amp;[Махачкала, ул. Ташкентская, 28Б]" c="Махачкала, ул. Ташкентская, 28Б"/>
        <s v="[Организации].[Магазин].&amp;[Махачкала, ул. Ш. Алиева, 7 (Шамсулы Алиева, 33 А)]" c="Махачкала, ул. Ш. Алиева, 7 (Шамсулы Алиева, 33 А)"/>
        <s v="[Организации].[Магазин].&amp;[Махачкала, ул. Юсупа Акаева, 23]" c="Махачкала, ул. Юсупа Акаева, 23"/>
        <s v="[Организации].[Магазин].&amp;[Махачкала, ул. Юсупова, 55]" c="Махачкала, ул. Юсупова, 55"/>
        <s v="[Организации].[Магазин].&amp;[с. Новокаякент, ул. У.Джабраиловой, д.  (ул. Новая, 32)]" c="с. Новокаякент, ул. У.Джабраиловой, д.  (ул. Новая, 32)"/>
        <s v="[Организации].[Магазин].&amp;[с.Ботлих, ул. Им.Газимагомеда, 48]" c="с.Ботлих, ул. Им.Газимагомеда, 48"/>
        <s v="[Организации].[Магазин].&amp;[Хасавюрт, ул, Даибова, 8]" c="Хасавюрт, ул, Даибова, 8"/>
      </sharedItems>
    </cacheField>
    <cacheField name="[Организации].[Номер Магазина].[Номер Магазина]" caption="Номер Магазина" numFmtId="0" hierarchy="98" level="1">
      <sharedItems count="53">
        <s v="[Организации].[Номер Магазина].&amp;[8026]" c="8026"/>
        <s v="[Организации].[Номер Магазина].&amp;[8018]" c="8018"/>
        <s v="[Организации].[Номер Магазина].&amp;[8020]" c="8020"/>
        <s v="[Организации].[Номер Магазина].&amp;[8039]" c="8039"/>
        <s v="[Организации].[Номер Магазина].&amp;[8004]" c="8004"/>
        <s v="[Организации].[Номер Магазина].&amp;[8080]" c="8080"/>
        <s v="[Организации].[Номер Магазина].&amp;[8001]" c="8001"/>
        <s v="[Организации].[Номер Магазина].&amp;[8079]" c="8079"/>
        <s v="[Организации].[Номер Магазина].&amp;[8059]" c="8059"/>
        <s v="[Организации].[Номер Магазина].&amp;[8076]" c="8076"/>
        <s v="[Организации].[Номер Магазина].&amp;[8023]" c="8023"/>
        <s v="[Организации].[Номер Магазина].&amp;[8061]" c="8061"/>
        <s v="[Организации].[Номер Магазина].&amp;[8070]" c="8070"/>
        <s v="[Организации].[Номер Магазина].&amp;[8036]" c="8036"/>
        <s v="[Организации].[Номер Магазина].&amp;[8081]" c="8081"/>
        <s v="[Организации].[Номер Магазина].&amp;[8069]" c="8069"/>
        <s v="[Организации].[Номер Магазина].&amp;[8024]" c="8024"/>
        <s v="[Организации].[Номер Магазина].&amp;[8065]" c="8065"/>
        <s v="[Организации].[Номер Магазина].&amp;[8068]" c="8068"/>
        <s v="[Организации].[Номер Магазина].&amp;[8078]" c="8078"/>
        <s v="[Организации].[Номер Магазина].&amp;[8015]" c="8015"/>
        <s v="[Организации].[Номер Магазина].&amp;[8063]" c="8063"/>
        <s v="[Организации].[Номер Магазина].&amp;[8054]" c="8054"/>
        <s v="[Организации].[Номер Магазина].&amp;[8071]" c="8071"/>
        <s v="[Организации].[Номер Магазина].&amp;[8084]" c="8084"/>
        <s v="[Организации].[Номер Магазина].&amp;[8005]" c="8005"/>
        <s v="[Организации].[Номер Магазина].&amp;[8003]" c="8003"/>
        <s v="[Организации].[Номер Магазина].&amp;[8083]" c="8083"/>
        <s v="[Организации].[Номер Магазина].&amp;[8035]" c="8035"/>
        <s v="[Организации].[Номер Магазина].&amp;[8064]" c="8064"/>
        <s v="[Организации].[Номер Магазина].&amp;[8082]" c="8082"/>
        <s v="[Организации].[Номер Магазина].&amp;[8022]" c="8022"/>
        <s v="[Организации].[Номер Магазина].&amp;[8006]" c="8006"/>
        <s v="[Организации].[Номер Магазина].&amp;[8062]" c="8062"/>
        <s v="[Организации].[Номер Магазина].&amp;[8009]" c="8009"/>
        <s v="[Организации].[Номер Магазина].&amp;[8011]" c="8011"/>
        <s v="[Организации].[Номер Магазина].&amp;[8010]" c="8010"/>
        <s v="[Организации].[Номер Магазина].&amp;[8012]" c="8012"/>
        <s v="[Организации].[Номер Магазина].&amp;[8014]" c="8014"/>
        <s v="[Организации].[Номер Магазина].&amp;[8019]" c="8019"/>
        <s v="[Организации].[Номер Магазина].&amp;[8074]" c="8074"/>
        <s v="[Организации].[Номер Магазина].&amp;[8029]" c="8029"/>
        <s v="[Организации].[Номер Магазина].&amp;[8017]" c="8017"/>
        <s v="[Организации].[Номер Магазина].&amp;[8027]" c="8027"/>
        <s v="[Организации].[Номер Магазина].&amp;[8032]" c="8032"/>
        <s v="[Организации].[Номер Магазина].&amp;[8057]" c="8057"/>
        <s v="[Организации].[Номер Магазина].&amp;[8073]" c="8073"/>
        <s v="[Организации].[Номер Магазина].&amp;[8016]" c="8016"/>
        <s v="[Организации].[Номер Магазина].&amp;[8075]" c="8075"/>
        <s v="[Организации].[Номер Магазина].&amp;[8000]" c="8000"/>
        <s v="[Организации].[Номер Магазина].&amp;[8058]" c="8058"/>
        <s v="[Организации].[Номер Магазина].&amp;[8067]" c="8067"/>
        <s v="[Организации].[Номер Магазина].&amp;[8025]" c="8025"/>
      </sharedItems>
    </cacheField>
    <cacheField name="[ГКМД на кассе].[День].[День]" caption="День" numFmtId="0" hierarchy="4" level="1">
      <sharedItems containsSemiMixedTypes="0" containsString="0"/>
    </cacheField>
    <cacheField name="[ГКМД сервера].[ГКМД сервера].[Год]" caption="Год" numFmtId="0" hierarchy="20" level="1">
      <sharedItems containsSemiMixedTypes="0" containsString="0"/>
    </cacheField>
    <cacheField name="[ГКМД сервера].[ГКМД сервера].[Квартал]" caption="Квартал" numFmtId="0" hierarchy="20" level="2">
      <sharedItems containsSemiMixedTypes="0" containsString="0"/>
    </cacheField>
    <cacheField name="[ГКМД сервера].[ГКМД сервера].[Месяц]" caption="Месяц" numFmtId="0" hierarchy="20" level="3">
      <sharedItems containsSemiMixedTypes="0" containsString="0"/>
    </cacheField>
    <cacheField name="[ГКМД сервера].[ГКМД сервера].[День]" caption="День" numFmtId="0" hierarchy="20" level="4">
      <sharedItems containsSemiMixedTypes="0" containsString="0"/>
    </cacheField>
    <cacheField name="[ГКМД сервера].[ГКМД сервера].[Месяц].[Ordering Месяц on DateS Месяц числовой]" caption="Ordering Месяц on DateS Месяц числовой" propertyName="Ordering Месяц on DateS Месяц числовой" numFmtId="0" hierarchy="20" level="3" memberPropertyField="1">
      <sharedItems containsSemiMixedTypes="0" containsString="0"/>
    </cacheField>
    <cacheField name="[ГКМД сервера].[ГКМД сервера].[Месяц].[Квартал]" caption="Квартал" propertyName="Квартал" numFmtId="0" hierarchy="20" level="3" memberPropertyField="1">
      <sharedItems containsSemiMixedTypes="0" containsString="0"/>
    </cacheField>
  </cacheFields>
  <cacheHierarchies count="410"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5" unbalanced="0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2" unbalanced="0">
      <fieldsUsage count="2">
        <fieldUsage x="-1"/>
        <fieldUsage x="0"/>
      </fieldsUsage>
    </cacheHierarchy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2" unbalanced="0">
      <fieldsUsage count="2">
        <fieldUsage x="-1"/>
        <fieldUsage x="5"/>
      </fieldsUsage>
    </cacheHierarchy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2" unbalanced="0">
      <fieldsUsage count="2">
        <fieldUsage x="-1"/>
        <fieldUsage x="1"/>
      </fieldsUsage>
    </cacheHierarchy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5" unbalanced="0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6"/>
        <fieldUsage x="7"/>
        <fieldUsage x="8"/>
        <fieldUsage x="9"/>
      </fieldsUsage>
    </cacheHierarchy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0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0" unbalanced="0"/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0" unbalanced="0"/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0" unbalanced="0"/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4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4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0" unbalanced="0"/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2" unbalanced="0">
      <fieldsUsage count="2">
        <fieldUsage x="-1"/>
        <fieldUsage x="3"/>
      </fieldsUsage>
    </cacheHierarchy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0" unbalanced="0"/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2" unbalanced="0">
      <fieldsUsage count="2">
        <fieldUsage x="-1"/>
        <fieldUsage x="4"/>
      </fieldsUsage>
    </cacheHierarchy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6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3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3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3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3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3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3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3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3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3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3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6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3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0" unbalanced="0" hidden="1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 hidden="1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 hidden="1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 hidden="1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 hidden="1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 hidden="1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 hidden="1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 hidden="1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 hidden="1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/>
    <cacheHierarchy uniqueName="[Measures].[Карты шт]" caption="Карты шт" measure="1" displayFolder="" measureGroup="Меры карт" count="0"/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/>
    <cacheHierarchy uniqueName="[Measures].[Чеки шт]" caption="Чеки шт" measure="1" displayFolder="" measureGroup="Меры общие" count="0"/>
    <cacheHierarchy uniqueName="[Measures].[Контактов шт]" caption="Контактов шт" measure="1" displayFolder="" measureGroup="Меры контакт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3">
    <dimension measure="1" name="Measures" uniqueName="[Measures]" caption="Measures"/>
    <dimension name="ГКМД на кассе" uniqueName="[ГКМД на кассе]" caption="ГКМД на кассе"/>
    <dimension name="ГКМД первой покупки" uniqueName="[ГКМД первой покупки]" caption="ГКМД первой покупки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Правила начислений и списаний бонусов" uniqueName="[Правила начислений и списаний бонусов]" caption="Правила начислений и списаний бонусов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</dimensions>
  <measureGroups count="7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маркетинговых групп" caption="Меры маркетинговых групп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84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  <map measureGroup="5" dimension="12"/>
    <map measureGroup="6" dimension="1"/>
    <map measureGroup="6" dimension="2"/>
    <map measureGroup="6" dimension="3"/>
    <map measureGroup="6" dimension="4"/>
    <map measureGroup="6" dimension="5"/>
    <map measureGroup="6" dimension="6"/>
    <map measureGroup="6" dimension="7"/>
    <map measureGroup="6" dimension="8"/>
    <map measureGroup="6" dimension="9"/>
    <map measureGroup="6" dimension="10"/>
    <map measureGroup="6" dimension="11"/>
    <map measureGroup="6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54DB1F-B200-4368-B4CD-9A456B631241}" name="Сводная таблица4" cacheId="30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6" indent="0" outline="1" outlineData="1" multipleFieldFilters="0" fieldListSortAscending="1">
  <location ref="E7:G63" firstHeaderRow="1" firstDataRow="2" firstDataCol="1" rowPageCount="1" colPageCount="1"/>
  <pivotFields count="6">
    <pivotField dataField="1" showAll="0"/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Row" allDrilled="1" showAll="0" dataSourceSort="1" defaultAttributeDrillState="1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dataField="1" showAll="0"/>
  </pivotFields>
  <rowFields count="1">
    <field x="4"/>
  </rowFields>
  <rowItems count="5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2" name="[Календарь].[ГКМД].[Год].&amp;[2022].&amp;[Октябрь].&amp;[1]" cap="1"/>
  </pageFields>
  <dataFields count="2">
    <dataField fld="0" baseField="0" baseItem="0"/>
    <dataField fld="5" baseField="0" baseItem="0"/>
  </dataFields>
  <pivotHierarchies count="39">
    <pivotHierarchy/>
    <pivotHierarchy/>
    <pivotHierarchy multipleItemSelectionAllowed="1">
      <members count="7" level="3">
        <member name="[Календарь].[ГКМД].[Год].&amp;[2022].&amp;[Октябрь].&amp;[1]"/>
        <member name="[Календарь].[ГКМД].[Год].&amp;[2022].&amp;[Октябрь].&amp;[2]"/>
        <member name="[Календарь].[ГКМД].[Год].&amp;[2022].&amp;[Сентябрь].&amp;[26]"/>
        <member name="[Календарь].[ГКМД].[Год].&amp;[2022].&amp;[Сентябрь].&amp;[27]"/>
        <member name="[Календарь].[ГКМД].[Год].&amp;[2022].&amp;[Сентябрь].&amp;[28]"/>
        <member name="[Календарь].[ГКМД].[Год].&amp;[2022].&amp;[Сентябрь].&amp;[29]"/>
        <member name="[Календарь].[ГКМД].[Год].&amp;[2022].&amp;[Сентябрь].&amp;[3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8"/>
  </rowHierarchiesUsage>
  <colHierarchiesUsage count="1">
    <colHierarchyUsage hierarchyUsage="-2"/>
  </colHierarchiesUsage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31" applyNumberFormats="0" applyBorderFormats="0" applyFontFormats="0" applyPatternFormats="0" applyAlignmentFormats="0" applyWidthHeightFormats="1" dataCaption="Значения" updatedVersion="6" minRefreshableVersion="3" useAutoFormatting="1" subtotalHiddenItems="1" rowGrandTotals="0" colGrandTotals="0" itemPrintTitles="1" createdVersion="6" indent="0" compact="0" compactData="0" multipleFieldFilters="0" fieldListSortAscending="1">
  <location ref="B7:C60" firstHeaderRow="1" firstDataRow="1" firstDataCol="2" rowPageCount="1" colPageCount="1"/>
  <pivotFields count="12">
    <pivotField compact="0" allDrilled="1" outline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efaultSubtotal="0" defaultAttributeDrillState="1">
      <items count="53">
        <item x="0"/>
        <item x="1"/>
        <item x="2"/>
        <item x="3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52"/>
        <item x="5"/>
        <item x="49"/>
        <item x="50"/>
        <item x="5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4"/>
  </rowFields>
  <rowItems count="53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>
      <x v="15"/>
      <x v="16"/>
    </i>
    <i>
      <x v="16"/>
      <x v="17"/>
    </i>
    <i>
      <x v="17"/>
      <x v="18"/>
    </i>
    <i>
      <x v="18"/>
      <x v="19"/>
    </i>
    <i>
      <x v="19"/>
      <x v="20"/>
    </i>
    <i>
      <x v="20"/>
      <x v="21"/>
    </i>
    <i>
      <x v="21"/>
      <x v="22"/>
    </i>
    <i>
      <x v="22"/>
      <x v="23"/>
    </i>
    <i>
      <x v="23"/>
      <x v="24"/>
    </i>
    <i>
      <x v="24"/>
      <x v="25"/>
    </i>
    <i>
      <x v="25"/>
      <x v="26"/>
    </i>
    <i>
      <x v="26"/>
      <x v="27"/>
    </i>
    <i>
      <x v="27"/>
      <x v="28"/>
    </i>
    <i>
      <x v="28"/>
      <x v="29"/>
    </i>
    <i>
      <x v="29"/>
      <x v="30"/>
    </i>
    <i>
      <x v="30"/>
      <x v="31"/>
    </i>
    <i>
      <x v="31"/>
      <x v="32"/>
    </i>
    <i>
      <x v="32"/>
      <x v="33"/>
    </i>
    <i>
      <x v="33"/>
      <x v="34"/>
    </i>
    <i>
      <x v="34"/>
      <x v="35"/>
    </i>
    <i>
      <x v="35"/>
      <x v="36"/>
    </i>
    <i>
      <x v="36"/>
      <x v="37"/>
    </i>
    <i>
      <x v="37"/>
      <x v="38"/>
    </i>
    <i>
      <x v="38"/>
      <x v="39"/>
    </i>
    <i>
      <x v="39"/>
      <x v="40"/>
    </i>
    <i>
      <x v="40"/>
      <x v="41"/>
    </i>
    <i>
      <x v="41"/>
      <x v="42"/>
    </i>
    <i>
      <x v="42"/>
      <x v="43"/>
    </i>
    <i>
      <x v="43"/>
      <x v="44"/>
    </i>
    <i>
      <x v="44"/>
      <x v="45"/>
    </i>
    <i>
      <x v="45"/>
      <x v="46"/>
    </i>
    <i>
      <x v="46"/>
      <x v="47"/>
    </i>
    <i>
      <x v="47"/>
      <x v="48"/>
    </i>
    <i>
      <x v="48"/>
      <x v="52"/>
    </i>
    <i>
      <x v="49"/>
      <x v="5"/>
    </i>
    <i>
      <x v="50"/>
      <x v="49"/>
    </i>
    <i>
      <x v="51"/>
      <x v="50"/>
    </i>
    <i>
      <x v="52"/>
      <x v="51"/>
    </i>
  </rowItems>
  <pageFields count="1">
    <pageField fld="6" hier="20" name="[ГКМД сервера].[ГКМД сервера].[Год].&amp;[2022].&amp;[3 кв].&amp;[Сен].&amp;[26]" cap="26"/>
  </pageFields>
  <pivotHierarchies count="410">
    <pivotHierarchy/>
    <pivotHierarchy multipleItemSelectionAllowed="1">
      <members count="1" level="1">
        <member name="[ГКМД на кассе].[Год].&amp;[2022]"/>
      </members>
    </pivotHierarchy>
    <pivotHierarchy/>
    <pivotHierarchy/>
    <pivotHierarchy multipleItemSelectionAllowed="1">
      <members count="25" level="1">
        <member name="[ГКМД на кассе].[День].&amp;[1]"/>
        <member name="[ГКМД на кассе].[День].&amp;[2]"/>
        <member name="[ГКМД на кассе].[День].&amp;[3]"/>
        <member name="[ГКМД на кассе].[День].&amp;[4]"/>
        <member name="[ГКМД на кассе].[День].&amp;[5]"/>
        <member name="[ГКМД на кассе].[День].&amp;[6]"/>
        <member name="[ГКМД на кассе].[День].&amp;[7]"/>
        <member name="[ГКМД на кассе].[День].&amp;[8]"/>
        <member name="[ГКМД на кассе].[День].&amp;[9]"/>
        <member name="[ГКМД на кассе].[День].&amp;[10]"/>
        <member name="[ГКМД на кассе].[День].&amp;[11]"/>
        <member name="[ГКМД на кассе].[День].&amp;[12]"/>
        <member name="[ГКМД на кассе].[День].&amp;[13]"/>
        <member name="[ГКМД на кассе].[День].&amp;[14]"/>
        <member name="[ГКМД на кассе].[День].&amp;[15]"/>
        <member name="[ГКМД на кассе].[День].&amp;[16]"/>
        <member name="[ГКМД на кассе].[День].&amp;[17]"/>
        <member name="[ГКМД на кассе].[День].&amp;[18]"/>
        <member name="[ГКМД на кассе].[День].&amp;[19]"/>
        <member name="[ГКМД на кассе].[День].&amp;[20]"/>
        <member name="[ГКМД на кассе].[День].&amp;[21]"/>
        <member name="[ГКМД на кассе].[День].&amp;[22]"/>
        <member name="[ГКМД на кассе].[День].&amp;[23]"/>
        <member name="[ГКМД на кассе].[День].&amp;[24]"/>
        <member name="[ГКМД на кассе].[День].&amp;[25]"/>
      </members>
    </pivotHierarchy>
    <pivotHierarchy/>
    <pivotHierarchy/>
    <pivotHierarchy/>
    <pivotHierarchy multipleItemSelectionAllowed="1">
      <mps count="1">
        <mp field="2"/>
      </mps>
      <members count="2" level="1">
        <member name="[ГКМД на кассе].[Месяц Числовой].&amp;[9]"/>
        <member name="[ГКМД на кассе].[Месяц Числовой].&amp;[1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2">
        <mp field="10"/>
        <mp field="11"/>
      </mps>
      <members count="7" level="4">
        <member name="[ГКМД сервера].[ГКМД сервера].[Год].&amp;[2022].&amp;[3 кв].&amp;[Сен].&amp;[26]"/>
        <member name="[ГКМД сервера].[ГКМД сервера].[Год].&amp;[2022].&amp;[3 кв].&amp;[Сен].&amp;[27]"/>
        <member name="[ГКМД сервера].[ГКМД сервера].[Год].&amp;[2022].&amp;[3 кв].&amp;[Сен].&amp;[28]"/>
        <member name="[ГКМД сервера].[ГКМД сервера].[Год].&amp;[2022].&amp;[3 кв].&amp;[Сен].&amp;[29]"/>
        <member name="[ГКМД сервера].[ГКМД сервера].[Год].&amp;[2022].&amp;[3 кв].&amp;[Сен].&amp;[30]"/>
        <member name="[ГКМД сервера].[ГКМД сервера].[Год].&amp;[2022].&amp;[4 кв].&amp;[Окт].&amp;[1]"/>
        <member name="[ГКМД сервера].[ГКМД сервера].[Год].&amp;[2022].&amp;[4 кв].&amp;[Окт].&amp;[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96"/>
    <rowHierarchyUsage hierarchyUsage="98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2000000}" name="Сводная таблица3" cacheId="2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fieldListSortAscending="1">
  <location ref="R3:V7" firstHeaderRow="1" firstDataRow="4" firstDataCol="1"/>
  <pivotFields count="7">
    <pivotField axis="axisCol" allDrilled="1" showAll="0" dataSourceSort="1" defaultSubtotal="0">
      <items count="1">
        <item c="1" x="0" d="1"/>
      </items>
    </pivotField>
    <pivotField axis="axisCol" showAll="0" dataSourceSort="1" defaultSubtotal="0">
      <items count="2">
        <item c="1" x="0" d="1"/>
        <item c="1" x="1" d="1"/>
      </items>
    </pivotField>
    <pivotField axis="axisCol" showAll="0" dataSourceSort="1" defaultSubtotal="0">
      <items count="3">
        <item s="1" c="1" x="0"/>
        <item s="1" c="1" x="1"/>
        <item c="1" x="2"/>
      </items>
    </pivotField>
    <pivotField axis="axisCol" showAll="0" dataSourceSort="1" defaultSubtotal="0"/>
    <pivotField showAll="0" dataSourceSort="1" defaultSubtotal="0" showPropTip="1"/>
    <pivotField showAll="0" dataSourceSort="1" defaultSubtotal="0" showPropTip="1"/>
    <pivotField dataField="1" showAll="0"/>
  </pivotFields>
  <rowItems count="1">
    <i/>
  </rowItems>
  <colFields count="3">
    <field x="0"/>
    <field x="1"/>
    <field x="2"/>
  </colFields>
  <colItems count="4">
    <i>
      <x/>
      <x/>
      <x/>
    </i>
    <i r="2">
      <x v="1"/>
    </i>
    <i r="1">
      <x v="1"/>
      <x v="2"/>
    </i>
    <i t="grand">
      <x/>
    </i>
  </colItems>
  <dataFields count="1">
    <dataField fld="6" baseField="0" baseItem="0"/>
  </dataFields>
  <pivotHierarchies count="410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2">
        <mp field="4"/>
        <mp field="5"/>
      </mps>
      <members count="2" level="3">
        <member name=""/>
        <member name=""/>
      </members>
      <members count="2" level="4">
        <member name="[ГКМД сервера].[ГКМД сервера].[Год].&amp;[2022].&amp;[4 кв].&amp;[Окт].&amp;[1]"/>
        <member name="[ГКМД сервера].[ГКМД сервера].[Год].&amp;[2022].&amp;[4 кв].&amp;[Окт].&amp;[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colHierarchiesUsage count="1">
    <colHierarchyUsage hierarchyUsage="2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Сводная таблица2" cacheId="28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fieldListSortAscending="1">
  <location ref="I7:O62" firstHeaderRow="0" firstDataRow="1" firstDataCol="1" rowPageCount="1" colPageCount="1"/>
  <pivotFields count="22">
    <pivotField allDrilled="1" subtotalTop="0" showAll="0" dataSourceSort="1" defaultSubtotal="0"/>
    <pivotField subtotalTop="0" showAll="0" dataSourceSort="1" defaultSubtotal="0"/>
    <pivotField subtotalTop="0" showAll="0" dataSourceSort="1" defaultSubtotal="0"/>
    <pivotField subtotalTop="0" showAll="0" dataSourceSort="1" defaultSubtotal="0"/>
    <pivotField subtotalTop="0" showAll="0" dataSourceSort="1" defaultSubtotal="0" showPropTip="1"/>
    <pivotField allDrilled="1" subtotalTop="0" showAll="0" dataSourceSort="1" defaultSubtotal="0" defaultAttributeDrillState="1"/>
    <pivotField allDrilled="1" subtotalTop="0" showAll="0" dataSourceSort="1" defaultSubtotal="0" defaultAttributeDrillState="1"/>
    <pivotField subtotalTop="0" showAll="0" dataSourceSort="1" defaultSubtotal="0" showPropTip="1"/>
    <pivotField axis="axisRow" allDrilled="1" subtotalTop="0" showAll="0" dataSourceSort="1" defaultSubtotal="0" defaultAttributeDrillState="1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dataField="1" subtotalTop="0" showAll="0" defaultSubtotal="0"/>
    <pivotField dataField="1" subtotalTop="0" showAll="0" defaultSubtotal="0"/>
    <pivotField allDrilled="1" showAll="0" dataSourceSort="1" defaultAttributeDrillState="1"/>
    <pivotField dataField="1" showAll="0"/>
    <pivotField dataField="1" showAll="0"/>
    <pivotField dataField="1" showAll="0"/>
    <pivotField dataField="1" showAll="0"/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</pivotFields>
  <rowFields count="1">
    <field x="8"/>
  </rowFields>
  <rowItems count="5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16" hier="20" name="[ГКМД сервера].[ГКМД сервера].[Год].&amp;[2022].&amp;[3 кв].&amp;[Сен].&amp;[26]" cap="26"/>
  </pageFields>
  <dataFields count="6">
    <dataField fld="9" baseField="0" baseItem="0"/>
    <dataField fld="10" baseField="0" baseItem="0"/>
    <dataField fld="12" baseField="0" baseItem="0"/>
    <dataField fld="13" baseField="0" baseItem="0"/>
    <dataField fld="14" baseField="0" baseItem="0"/>
    <dataField fld="15" baseField="0" baseItem="0"/>
  </dataFields>
  <pivotHierarchies count="410">
    <pivotHierarchy/>
    <pivotHierarchy multipleItemSelectionAllowed="1">
      <members count="1" level="1">
        <member name="[ГКМД на кассе].[Год].&amp;[2022]"/>
      </members>
    </pivotHierarchy>
    <pivotHierarchy/>
    <pivotHierarchy/>
    <pivotHierarchy multipleItemSelectionAllowed="1">
      <members count="25" level="1">
        <member name="[ГКМД на кассе].[День].&amp;[1]"/>
        <member name="[ГКМД на кассе].[День].&amp;[2]"/>
        <member name="[ГКМД на кассе].[День].&amp;[3]"/>
        <member name="[ГКМД на кассе].[День].&amp;[4]"/>
        <member name="[ГКМД на кассе].[День].&amp;[5]"/>
        <member name="[ГКМД на кассе].[День].&amp;[6]"/>
        <member name="[ГКМД на кассе].[День].&amp;[7]"/>
        <member name="[ГКМД на кассе].[День].&amp;[8]"/>
        <member name="[ГКМД на кассе].[День].&amp;[9]"/>
        <member name="[ГКМД на кассе].[День].&amp;[10]"/>
        <member name="[ГКМД на кассе].[День].&amp;[11]"/>
        <member name="[ГКМД на кассе].[День].&amp;[12]"/>
        <member name="[ГКМД на кассе].[День].&amp;[13]"/>
        <member name="[ГКМД на кассе].[День].&amp;[14]"/>
        <member name="[ГКМД на кассе].[День].&amp;[15]"/>
        <member name="[ГКМД на кассе].[День].&amp;[16]"/>
        <member name="[ГКМД на кассе].[День].&amp;[17]"/>
        <member name="[ГКМД на кассе].[День].&amp;[18]"/>
        <member name="[ГКМД на кассе].[День].&amp;[19]"/>
        <member name="[ГКМД на кассе].[День].&amp;[20]"/>
        <member name="[ГКМД на кассе].[День].&amp;[21]"/>
        <member name="[ГКМД на кассе].[День].&amp;[22]"/>
        <member name="[ГКМД на кассе].[День].&amp;[23]"/>
        <member name="[ГКМД на кассе].[День].&amp;[24]"/>
        <member name="[ГКМД на кассе].[День].&amp;[25]"/>
      </members>
    </pivotHierarchy>
    <pivotHierarchy/>
    <pivotHierarchy/>
    <pivotHierarchy/>
    <pivotHierarchy multipleItemSelectionAllowed="1">
      <mps count="1">
        <mp field="7"/>
      </mps>
      <members count="1" level="1">
        <member name="[ГКМД на кассе].[Месяц Числовой].&amp;[9]"/>
      </members>
    </pivotHierarchy>
    <pivotHierarchy/>
    <pivotHierarchy multipleItemSelectionAllowed="1">
      <mps count="1">
        <mp field="4"/>
      </mps>
      <members count="1" level="3">
        <member name="[ГКМД первой покупки].[ГКМД первой покупки].[Год].&amp;[2022].&amp;[3 кв].&amp;[Сен]"/>
      </members>
    </pivotHierarchy>
    <pivotHierarchy/>
    <pivotHierarchy/>
    <pivotHierarchy/>
    <pivotHierarchy/>
    <pivotHierarchy/>
    <pivotHierarchy/>
    <pivotHierarchy/>
    <pivotHierarchy/>
    <pivotHierarchy/>
    <pivotHierarchy multipleItemSelectionAllowed="1">
      <mps count="2">
        <mp field="20"/>
        <mp field="21"/>
      </mps>
      <members count="7" level="4">
        <member name="[ГКМД сервера].[ГКМД сервера].[Год].&amp;[2022].&amp;[3 кв].&amp;[Сен].&amp;[26]"/>
        <member name="[ГКМД сервера].[ГКМД сервера].[Год].&amp;[2022].&amp;[3 кв].&amp;[Сен].&amp;[27]"/>
        <member name="[ГКМД сервера].[ГКМД сервера].[Год].&amp;[2022].&amp;[3 кв].&amp;[Сен].&amp;[28]"/>
        <member name="[ГКМД сервера].[ГКМД сервера].[Год].&amp;[2022].&amp;[3 кв].&amp;[Сен].&amp;[29]"/>
        <member name="[ГКМД сервера].[ГКМД сервера].[Год].&amp;[2022].&amp;[3 кв].&amp;[Сен].&amp;[30]"/>
        <member name="[ГКМД сервера].[ГКМД сервера].[Год].&amp;[2022].&amp;[4 кв].&amp;[Окт].&amp;[1]"/>
        <member name="[ГКМД сервера].[ГКМД сервера].[Год].&amp;[2022].&amp;[4 кв].&amp;[Окт].&amp;[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3"/>
  <sheetViews>
    <sheetView topLeftCell="C1" workbookViewId="0">
      <selection activeCell="E1" sqref="E1:G1048576"/>
    </sheetView>
  </sheetViews>
  <sheetFormatPr defaultRowHeight="15" x14ac:dyDescent="0.25"/>
  <cols>
    <col min="2" max="2" width="62.140625" bestFit="1" customWidth="1"/>
    <col min="3" max="3" width="25.140625" customWidth="1"/>
    <col min="4" max="4" width="8.42578125" bestFit="1" customWidth="1"/>
    <col min="5" max="5" width="17.28515625" bestFit="1" customWidth="1"/>
    <col min="6" max="6" width="25.140625" bestFit="1" customWidth="1"/>
    <col min="7" max="7" width="24.42578125" bestFit="1" customWidth="1"/>
    <col min="9" max="9" width="17.28515625" bestFit="1" customWidth="1"/>
    <col min="10" max="10" width="25.140625" customWidth="1"/>
    <col min="11" max="11" width="8.42578125" customWidth="1"/>
    <col min="12" max="12" width="18.5703125" customWidth="1"/>
    <col min="13" max="13" width="17.5703125" customWidth="1"/>
    <col min="14" max="14" width="22.5703125" customWidth="1"/>
    <col min="15" max="15" width="10" customWidth="1"/>
    <col min="18" max="18" width="16.140625" bestFit="1" customWidth="1"/>
    <col min="19" max="19" width="20.85546875" customWidth="1"/>
    <col min="20" max="21" width="6.28515625" customWidth="1"/>
    <col min="22" max="22" width="11.85546875" customWidth="1"/>
    <col min="23" max="23" width="9" customWidth="1"/>
    <col min="24" max="24" width="9.5703125" customWidth="1"/>
    <col min="25" max="25" width="11.85546875" bestFit="1" customWidth="1"/>
  </cols>
  <sheetData>
    <row r="1" spans="1:22" s="17" customFormat="1" ht="30" x14ac:dyDescent="0.25">
      <c r="B1" s="16" t="s">
        <v>15</v>
      </c>
      <c r="E1" s="16" t="s">
        <v>122</v>
      </c>
      <c r="F1" s="16"/>
      <c r="I1" s="16" t="s">
        <v>124</v>
      </c>
      <c r="R1"/>
      <c r="S1"/>
      <c r="T1"/>
    </row>
    <row r="2" spans="1:22" s="15" customFormat="1" x14ac:dyDescent="0.25">
      <c r="B2"/>
      <c r="C2"/>
      <c r="I2"/>
      <c r="J2"/>
      <c r="R2"/>
      <c r="S2"/>
      <c r="T2"/>
    </row>
    <row r="3" spans="1:22" x14ac:dyDescent="0.25">
      <c r="S3" s="10" t="s">
        <v>154</v>
      </c>
    </row>
    <row r="4" spans="1:22" x14ac:dyDescent="0.25">
      <c r="S4" t="s">
        <v>17</v>
      </c>
      <c r="V4" t="s">
        <v>18</v>
      </c>
    </row>
    <row r="5" spans="1:22" x14ac:dyDescent="0.25">
      <c r="B5" s="10" t="s">
        <v>152</v>
      </c>
      <c r="C5" t="s" vm="1">
        <v>137</v>
      </c>
      <c r="E5" s="10" t="s">
        <v>161</v>
      </c>
      <c r="F5" t="s" vm="2">
        <v>137</v>
      </c>
      <c r="I5" s="10" t="s">
        <v>152</v>
      </c>
      <c r="J5" t="s" vm="1">
        <v>137</v>
      </c>
      <c r="S5" t="s">
        <v>155</v>
      </c>
      <c r="U5" t="s">
        <v>156</v>
      </c>
    </row>
    <row r="6" spans="1:22" x14ac:dyDescent="0.25">
      <c r="S6" t="s">
        <v>157</v>
      </c>
      <c r="T6" t="s">
        <v>158</v>
      </c>
      <c r="U6" t="s">
        <v>159</v>
      </c>
    </row>
    <row r="7" spans="1:22" x14ac:dyDescent="0.25">
      <c r="B7" s="10" t="s">
        <v>14</v>
      </c>
      <c r="C7" s="10" t="s">
        <v>68</v>
      </c>
      <c r="F7" s="10" t="s">
        <v>162</v>
      </c>
      <c r="H7" s="10"/>
      <c r="I7" s="10" t="s">
        <v>16</v>
      </c>
      <c r="J7" s="10" t="s">
        <v>123</v>
      </c>
      <c r="K7" s="10" t="s">
        <v>120</v>
      </c>
      <c r="L7" s="10" t="s">
        <v>145</v>
      </c>
      <c r="M7" s="10" t="s">
        <v>146</v>
      </c>
      <c r="N7" s="10" t="s">
        <v>147</v>
      </c>
      <c r="O7" s="10" t="s">
        <v>148</v>
      </c>
      <c r="P7" s="10"/>
      <c r="Q7" s="10"/>
      <c r="R7" s="10" t="s">
        <v>123</v>
      </c>
      <c r="S7" s="52">
        <v>5667</v>
      </c>
      <c r="T7" s="52">
        <v>26162</v>
      </c>
      <c r="U7" s="52">
        <v>779</v>
      </c>
      <c r="V7" s="52">
        <v>32608</v>
      </c>
    </row>
    <row r="8" spans="1:22" x14ac:dyDescent="0.25">
      <c r="A8">
        <f>IFERROR(C8*1," ")</f>
        <v>8026</v>
      </c>
      <c r="B8" t="s">
        <v>20</v>
      </c>
      <c r="C8" t="s">
        <v>69</v>
      </c>
      <c r="E8" s="10" t="s">
        <v>16</v>
      </c>
      <c r="F8" t="s">
        <v>160</v>
      </c>
      <c r="G8" t="s">
        <v>163</v>
      </c>
      <c r="I8" s="11" t="s">
        <v>129</v>
      </c>
      <c r="J8" s="12">
        <v>3</v>
      </c>
      <c r="K8" s="12">
        <v>13</v>
      </c>
      <c r="L8" s="12">
        <v>12935</v>
      </c>
      <c r="M8" s="12">
        <v>12646.47</v>
      </c>
      <c r="N8" s="12">
        <v>13.01</v>
      </c>
      <c r="O8" s="12">
        <v>2755.2</v>
      </c>
    </row>
    <row r="9" spans="1:22" x14ac:dyDescent="0.25">
      <c r="A9">
        <f t="shared" ref="A9:A60" si="0">IFERROR(C9*1," ")</f>
        <v>8018</v>
      </c>
      <c r="B9" t="s">
        <v>21</v>
      </c>
      <c r="C9" t="s">
        <v>70</v>
      </c>
      <c r="E9" s="11" t="s">
        <v>129</v>
      </c>
      <c r="F9" s="51">
        <v>396599</v>
      </c>
      <c r="G9" s="53">
        <v>869</v>
      </c>
      <c r="I9" s="11" t="s">
        <v>74</v>
      </c>
      <c r="J9" s="12">
        <v>74</v>
      </c>
      <c r="K9" s="12">
        <v>184</v>
      </c>
      <c r="L9" s="12">
        <v>124796.5</v>
      </c>
      <c r="M9" s="12">
        <v>122948.24</v>
      </c>
      <c r="N9" s="12">
        <v>4</v>
      </c>
      <c r="O9" s="12">
        <v>18442.600000000002</v>
      </c>
    </row>
    <row r="10" spans="1:22" x14ac:dyDescent="0.25">
      <c r="A10">
        <f t="shared" si="0"/>
        <v>8020</v>
      </c>
      <c r="B10" t="s">
        <v>22</v>
      </c>
      <c r="C10" t="s">
        <v>71</v>
      </c>
      <c r="E10" s="11" t="s">
        <v>74</v>
      </c>
      <c r="F10" s="51">
        <v>223279</v>
      </c>
      <c r="G10" s="53">
        <v>431</v>
      </c>
      <c r="I10" s="11" t="s">
        <v>95</v>
      </c>
      <c r="J10" s="12">
        <v>34</v>
      </c>
      <c r="K10" s="12">
        <v>157</v>
      </c>
      <c r="L10" s="12">
        <v>111421.5</v>
      </c>
      <c r="M10" s="12">
        <v>110109.11</v>
      </c>
      <c r="N10" s="12">
        <v>44.019999999999996</v>
      </c>
      <c r="O10" s="12">
        <v>12683.7</v>
      </c>
    </row>
    <row r="11" spans="1:22" x14ac:dyDescent="0.25">
      <c r="A11">
        <f t="shared" si="0"/>
        <v>8039</v>
      </c>
      <c r="B11" t="s">
        <v>23</v>
      </c>
      <c r="C11" t="s">
        <v>72</v>
      </c>
      <c r="E11" s="11" t="s">
        <v>95</v>
      </c>
      <c r="F11" s="51">
        <v>153014</v>
      </c>
      <c r="G11" s="53">
        <v>482</v>
      </c>
      <c r="I11" s="11" t="s">
        <v>73</v>
      </c>
      <c r="J11" s="12">
        <v>5</v>
      </c>
      <c r="K11" s="12">
        <v>23</v>
      </c>
      <c r="L11" s="12">
        <v>14238.5</v>
      </c>
      <c r="M11" s="12">
        <v>13410.95</v>
      </c>
      <c r="N11" s="12">
        <v>0</v>
      </c>
      <c r="O11" s="12">
        <v>8275.5</v>
      </c>
    </row>
    <row r="12" spans="1:22" x14ac:dyDescent="0.25">
      <c r="A12">
        <f t="shared" si="0"/>
        <v>8004</v>
      </c>
      <c r="B12" t="s">
        <v>24</v>
      </c>
      <c r="C12" t="s">
        <v>73</v>
      </c>
      <c r="E12" s="11" t="s">
        <v>73</v>
      </c>
      <c r="F12" s="51">
        <v>389248</v>
      </c>
      <c r="G12" s="53">
        <v>1086</v>
      </c>
      <c r="I12" s="11" t="s">
        <v>94</v>
      </c>
      <c r="J12" s="12">
        <v>224</v>
      </c>
      <c r="K12" s="12">
        <v>618</v>
      </c>
      <c r="L12" s="12">
        <v>661700</v>
      </c>
      <c r="M12" s="12">
        <v>653955.62</v>
      </c>
      <c r="N12" s="12">
        <v>438.01</v>
      </c>
      <c r="O12" s="12">
        <v>73063.699999999968</v>
      </c>
    </row>
    <row r="13" spans="1:22" x14ac:dyDescent="0.25">
      <c r="A13">
        <f t="shared" si="0"/>
        <v>8001</v>
      </c>
      <c r="B13" t="s">
        <v>25</v>
      </c>
      <c r="C13" t="s">
        <v>74</v>
      </c>
      <c r="E13" s="11" t="s">
        <v>94</v>
      </c>
      <c r="F13" s="51">
        <v>1050932</v>
      </c>
      <c r="G13" s="53">
        <v>2248</v>
      </c>
      <c r="I13" s="11" t="s">
        <v>101</v>
      </c>
      <c r="J13" s="12">
        <v>145</v>
      </c>
      <c r="K13" s="12">
        <v>357</v>
      </c>
      <c r="L13" s="12">
        <v>289528.5</v>
      </c>
      <c r="M13" s="12">
        <v>284486.82</v>
      </c>
      <c r="N13" s="12">
        <v>0.02</v>
      </c>
      <c r="O13" s="12">
        <v>50416.60000000002</v>
      </c>
    </row>
    <row r="14" spans="1:22" x14ac:dyDescent="0.25">
      <c r="A14">
        <f t="shared" si="0"/>
        <v>8079</v>
      </c>
      <c r="B14" t="s">
        <v>26</v>
      </c>
      <c r="C14" t="s">
        <v>75</v>
      </c>
      <c r="E14" s="11" t="s">
        <v>101</v>
      </c>
      <c r="F14" s="51">
        <v>473451</v>
      </c>
      <c r="G14" s="53">
        <v>1242</v>
      </c>
      <c r="I14" s="11" t="s">
        <v>103</v>
      </c>
      <c r="J14" s="12">
        <v>30</v>
      </c>
      <c r="K14" s="12">
        <v>68</v>
      </c>
      <c r="L14" s="12">
        <v>48407</v>
      </c>
      <c r="M14" s="12">
        <v>47877.79</v>
      </c>
      <c r="N14" s="12">
        <v>4</v>
      </c>
      <c r="O14" s="12">
        <v>5252.1</v>
      </c>
    </row>
    <row r="15" spans="1:22" x14ac:dyDescent="0.25">
      <c r="A15">
        <f t="shared" si="0"/>
        <v>8059</v>
      </c>
      <c r="B15" t="s">
        <v>27</v>
      </c>
      <c r="C15" t="s">
        <v>76</v>
      </c>
      <c r="E15" s="11" t="s">
        <v>103</v>
      </c>
      <c r="F15" s="51">
        <v>195909</v>
      </c>
      <c r="G15" s="53">
        <v>630</v>
      </c>
      <c r="I15" s="11" t="s">
        <v>105</v>
      </c>
      <c r="J15" s="12">
        <v>109</v>
      </c>
      <c r="K15" s="12">
        <v>229</v>
      </c>
      <c r="L15" s="12">
        <v>153526</v>
      </c>
      <c r="M15" s="12">
        <v>151653.25999999998</v>
      </c>
      <c r="N15" s="12">
        <v>53.02</v>
      </c>
      <c r="O15" s="12">
        <v>18197.199999999993</v>
      </c>
    </row>
    <row r="16" spans="1:22" x14ac:dyDescent="0.25">
      <c r="A16">
        <f t="shared" si="0"/>
        <v>8076</v>
      </c>
      <c r="B16" t="s">
        <v>28</v>
      </c>
      <c r="C16" t="s">
        <v>77</v>
      </c>
      <c r="E16" s="11" t="s">
        <v>105</v>
      </c>
      <c r="F16" s="51">
        <v>289681</v>
      </c>
      <c r="G16" s="53">
        <v>827</v>
      </c>
      <c r="I16" s="11" t="s">
        <v>104</v>
      </c>
      <c r="J16" s="12">
        <v>8</v>
      </c>
      <c r="K16" s="12">
        <v>22</v>
      </c>
      <c r="L16" s="12">
        <v>23259</v>
      </c>
      <c r="M16" s="12">
        <v>22866.63</v>
      </c>
      <c r="N16" s="12">
        <v>6</v>
      </c>
      <c r="O16" s="12">
        <v>3863.7000000000003</v>
      </c>
    </row>
    <row r="17" spans="1:15" x14ac:dyDescent="0.25">
      <c r="A17">
        <f t="shared" si="0"/>
        <v>8023</v>
      </c>
      <c r="B17" t="s">
        <v>29</v>
      </c>
      <c r="C17" t="s">
        <v>78</v>
      </c>
      <c r="E17" s="11" t="s">
        <v>104</v>
      </c>
      <c r="F17" s="51">
        <v>503014</v>
      </c>
      <c r="G17" s="53">
        <v>1073</v>
      </c>
      <c r="I17" s="11" t="s">
        <v>106</v>
      </c>
      <c r="J17" s="12">
        <v>1</v>
      </c>
      <c r="K17" s="12">
        <v>17</v>
      </c>
      <c r="L17" s="12">
        <v>12837</v>
      </c>
      <c r="M17" s="12">
        <v>12525.42</v>
      </c>
      <c r="N17" s="12">
        <v>5</v>
      </c>
      <c r="O17" s="12">
        <v>3065.8</v>
      </c>
    </row>
    <row r="18" spans="1:15" x14ac:dyDescent="0.25">
      <c r="A18">
        <f t="shared" si="0"/>
        <v>8061</v>
      </c>
      <c r="B18" t="s">
        <v>30</v>
      </c>
      <c r="C18" t="s">
        <v>79</v>
      </c>
      <c r="E18" s="11" t="s">
        <v>106</v>
      </c>
      <c r="F18" s="51">
        <v>196043</v>
      </c>
      <c r="G18" s="53">
        <v>531</v>
      </c>
      <c r="I18" s="11" t="s">
        <v>107</v>
      </c>
      <c r="J18" s="12">
        <v>55</v>
      </c>
      <c r="K18" s="12">
        <v>81</v>
      </c>
      <c r="L18" s="12">
        <v>50062.9</v>
      </c>
      <c r="M18" s="12">
        <v>49205.29</v>
      </c>
      <c r="N18" s="12">
        <v>0</v>
      </c>
      <c r="O18" s="12">
        <v>8576.1</v>
      </c>
    </row>
    <row r="19" spans="1:15" x14ac:dyDescent="0.25">
      <c r="A19">
        <f t="shared" si="0"/>
        <v>8070</v>
      </c>
      <c r="B19" t="s">
        <v>31</v>
      </c>
      <c r="C19" t="s">
        <v>80</v>
      </c>
      <c r="E19" s="11" t="s">
        <v>107</v>
      </c>
      <c r="F19" s="51">
        <v>127249</v>
      </c>
      <c r="G19" s="53">
        <v>486</v>
      </c>
      <c r="I19" s="11" t="s">
        <v>88</v>
      </c>
      <c r="J19" s="12">
        <v>233</v>
      </c>
      <c r="K19" s="12">
        <v>667</v>
      </c>
      <c r="L19" s="12">
        <v>548548</v>
      </c>
      <c r="M19" s="12">
        <v>542017.15</v>
      </c>
      <c r="N19" s="12">
        <v>141.01</v>
      </c>
      <c r="O19" s="12">
        <v>63838.400000000038</v>
      </c>
    </row>
    <row r="20" spans="1:15" x14ac:dyDescent="0.25">
      <c r="A20">
        <f t="shared" si="0"/>
        <v>8036</v>
      </c>
      <c r="B20" t="s">
        <v>32</v>
      </c>
      <c r="C20" t="s">
        <v>81</v>
      </c>
      <c r="E20" s="11" t="s">
        <v>88</v>
      </c>
      <c r="F20" s="51">
        <v>474256</v>
      </c>
      <c r="G20" s="53">
        <v>1232</v>
      </c>
      <c r="I20" s="11" t="s">
        <v>116</v>
      </c>
      <c r="J20" s="12">
        <v>91</v>
      </c>
      <c r="K20" s="12">
        <v>264</v>
      </c>
      <c r="L20" s="12">
        <v>184088.5</v>
      </c>
      <c r="M20" s="12">
        <v>180704.31999999998</v>
      </c>
      <c r="N20" s="12">
        <v>169.01</v>
      </c>
      <c r="O20" s="12">
        <v>32151.700000000012</v>
      </c>
    </row>
    <row r="21" spans="1:15" x14ac:dyDescent="0.25">
      <c r="A21">
        <f t="shared" si="0"/>
        <v>8081</v>
      </c>
      <c r="B21" t="s">
        <v>33</v>
      </c>
      <c r="C21" t="s">
        <v>82</v>
      </c>
      <c r="E21" s="11" t="s">
        <v>116</v>
      </c>
      <c r="F21" s="51">
        <v>263337</v>
      </c>
      <c r="G21" s="53">
        <v>860</v>
      </c>
      <c r="I21" s="11" t="s">
        <v>111</v>
      </c>
      <c r="J21" s="12">
        <v>121</v>
      </c>
      <c r="K21" s="12">
        <v>453</v>
      </c>
      <c r="L21" s="12">
        <v>251179.5</v>
      </c>
      <c r="M21" s="12">
        <v>247267.58</v>
      </c>
      <c r="N21" s="12">
        <v>91</v>
      </c>
      <c r="O21" s="12">
        <v>38209.200000000026</v>
      </c>
    </row>
    <row r="22" spans="1:15" x14ac:dyDescent="0.25">
      <c r="A22">
        <f t="shared" si="0"/>
        <v>8069</v>
      </c>
      <c r="B22" t="s">
        <v>34</v>
      </c>
      <c r="C22" t="s">
        <v>83</v>
      </c>
      <c r="E22" s="11" t="s">
        <v>111</v>
      </c>
      <c r="F22" s="51">
        <v>131739</v>
      </c>
      <c r="G22" s="53">
        <v>439</v>
      </c>
      <c r="I22" s="11" t="s">
        <v>70</v>
      </c>
      <c r="J22" s="12">
        <v>65</v>
      </c>
      <c r="K22" s="12">
        <v>197</v>
      </c>
      <c r="L22" s="12">
        <v>153129</v>
      </c>
      <c r="M22" s="12">
        <v>151358.06</v>
      </c>
      <c r="N22" s="12">
        <v>0</v>
      </c>
      <c r="O22" s="12">
        <v>17709.400000000001</v>
      </c>
    </row>
    <row r="23" spans="1:15" x14ac:dyDescent="0.25">
      <c r="A23">
        <f t="shared" si="0"/>
        <v>8024</v>
      </c>
      <c r="B23" t="s">
        <v>35</v>
      </c>
      <c r="C23" t="s">
        <v>84</v>
      </c>
      <c r="E23" s="11" t="s">
        <v>70</v>
      </c>
      <c r="F23" s="51">
        <v>166205</v>
      </c>
      <c r="G23" s="53">
        <v>471</v>
      </c>
      <c r="I23" s="11" t="s">
        <v>108</v>
      </c>
      <c r="J23" s="12">
        <v>34</v>
      </c>
      <c r="K23" s="12">
        <v>127</v>
      </c>
      <c r="L23" s="12">
        <v>178682.5</v>
      </c>
      <c r="M23" s="12">
        <v>177355.84</v>
      </c>
      <c r="N23" s="12">
        <v>39</v>
      </c>
      <c r="O23" s="12">
        <v>12876.599999999999</v>
      </c>
    </row>
    <row r="24" spans="1:15" x14ac:dyDescent="0.25">
      <c r="A24">
        <f t="shared" si="0"/>
        <v>8065</v>
      </c>
      <c r="B24" t="s">
        <v>36</v>
      </c>
      <c r="C24" t="s">
        <v>85</v>
      </c>
      <c r="E24" s="11" t="s">
        <v>108</v>
      </c>
      <c r="F24" s="51">
        <v>808024</v>
      </c>
      <c r="G24" s="53">
        <v>1568</v>
      </c>
      <c r="I24" s="11" t="s">
        <v>71</v>
      </c>
      <c r="J24" s="12">
        <v>101</v>
      </c>
      <c r="K24" s="12">
        <v>246</v>
      </c>
      <c r="L24" s="12">
        <v>240343.5</v>
      </c>
      <c r="M24" s="12">
        <v>237859.99999999997</v>
      </c>
      <c r="N24" s="12">
        <v>89.02</v>
      </c>
      <c r="O24" s="12">
        <v>23944.799999999996</v>
      </c>
    </row>
    <row r="25" spans="1:15" x14ac:dyDescent="0.25">
      <c r="A25">
        <f t="shared" si="0"/>
        <v>8068</v>
      </c>
      <c r="B25" t="s">
        <v>37</v>
      </c>
      <c r="C25" t="s">
        <v>86</v>
      </c>
      <c r="E25" s="11" t="s">
        <v>71</v>
      </c>
      <c r="F25" s="51">
        <v>332622</v>
      </c>
      <c r="G25" s="53">
        <v>803</v>
      </c>
      <c r="I25" s="11" t="s">
        <v>100</v>
      </c>
      <c r="J25" s="12">
        <v>30</v>
      </c>
      <c r="K25" s="12">
        <v>106</v>
      </c>
      <c r="L25" s="12">
        <v>127352</v>
      </c>
      <c r="M25" s="12">
        <v>126327.42</v>
      </c>
      <c r="N25" s="12">
        <v>28</v>
      </c>
      <c r="O25" s="12">
        <v>9965.7999999999993</v>
      </c>
    </row>
    <row r="26" spans="1:15" x14ac:dyDescent="0.25">
      <c r="A26">
        <f t="shared" si="0"/>
        <v>8078</v>
      </c>
      <c r="B26" t="s">
        <v>38</v>
      </c>
      <c r="C26" t="s">
        <v>87</v>
      </c>
      <c r="E26" s="11" t="s">
        <v>100</v>
      </c>
      <c r="F26" s="51">
        <v>183092</v>
      </c>
      <c r="G26" s="53">
        <v>596</v>
      </c>
      <c r="I26" s="11" t="s">
        <v>78</v>
      </c>
      <c r="J26" s="12">
        <v>108</v>
      </c>
      <c r="K26" s="12">
        <v>166</v>
      </c>
      <c r="L26" s="12">
        <v>196049</v>
      </c>
      <c r="M26" s="12">
        <v>194820.22</v>
      </c>
      <c r="N26" s="12">
        <v>94</v>
      </c>
      <c r="O26" s="12">
        <v>11347.800000000001</v>
      </c>
    </row>
    <row r="27" spans="1:15" x14ac:dyDescent="0.25">
      <c r="A27">
        <f t="shared" si="0"/>
        <v>8015</v>
      </c>
      <c r="B27" t="s">
        <v>39</v>
      </c>
      <c r="C27" t="s">
        <v>88</v>
      </c>
      <c r="E27" s="11" t="s">
        <v>78</v>
      </c>
      <c r="F27" s="51">
        <v>628884</v>
      </c>
      <c r="G27" s="53">
        <v>1288</v>
      </c>
      <c r="I27" s="11" t="s">
        <v>84</v>
      </c>
      <c r="J27" s="12">
        <v>638</v>
      </c>
      <c r="K27" s="12">
        <v>1504</v>
      </c>
      <c r="L27" s="12">
        <v>1439809.5</v>
      </c>
      <c r="M27" s="12">
        <v>1426150.54</v>
      </c>
      <c r="N27" s="12">
        <v>743.05</v>
      </c>
      <c r="O27" s="12">
        <v>129159.09999999992</v>
      </c>
    </row>
    <row r="28" spans="1:15" x14ac:dyDescent="0.25">
      <c r="A28">
        <f t="shared" si="0"/>
        <v>8063</v>
      </c>
      <c r="B28" t="s">
        <v>40</v>
      </c>
      <c r="C28" t="s">
        <v>89</v>
      </c>
      <c r="E28" s="11" t="s">
        <v>84</v>
      </c>
      <c r="F28" s="51">
        <v>741087</v>
      </c>
      <c r="G28" s="53">
        <v>1596</v>
      </c>
      <c r="I28" s="11" t="s">
        <v>118</v>
      </c>
      <c r="J28" s="12">
        <v>55</v>
      </c>
      <c r="K28" s="12">
        <v>162</v>
      </c>
      <c r="L28" s="12">
        <v>274804.59999999998</v>
      </c>
      <c r="M28" s="12">
        <v>272388.35000000003</v>
      </c>
      <c r="N28" s="12">
        <v>0.02</v>
      </c>
      <c r="O28" s="12">
        <v>24162.300000000003</v>
      </c>
    </row>
    <row r="29" spans="1:15" x14ac:dyDescent="0.25">
      <c r="A29">
        <f t="shared" si="0"/>
        <v>8054</v>
      </c>
      <c r="B29" t="s">
        <v>41</v>
      </c>
      <c r="C29" t="s">
        <v>90</v>
      </c>
      <c r="E29" s="11" t="s">
        <v>118</v>
      </c>
      <c r="F29" s="51">
        <v>253151</v>
      </c>
      <c r="G29" s="53">
        <v>581</v>
      </c>
      <c r="I29" s="11" t="s">
        <v>69</v>
      </c>
      <c r="J29" s="12">
        <v>39</v>
      </c>
      <c r="K29" s="12">
        <v>122</v>
      </c>
      <c r="L29" s="12">
        <v>129228.5</v>
      </c>
      <c r="M29" s="12">
        <v>127748</v>
      </c>
      <c r="N29" s="12">
        <v>0.03</v>
      </c>
      <c r="O29" s="12">
        <v>14804.699999999999</v>
      </c>
    </row>
    <row r="30" spans="1:15" x14ac:dyDescent="0.25">
      <c r="A30">
        <f t="shared" si="0"/>
        <v>8071</v>
      </c>
      <c r="B30" t="s">
        <v>42</v>
      </c>
      <c r="C30" t="s">
        <v>91</v>
      </c>
      <c r="E30" s="11" t="s">
        <v>69</v>
      </c>
      <c r="F30" s="51">
        <v>294400</v>
      </c>
      <c r="G30" s="53">
        <v>701</v>
      </c>
      <c r="I30" s="11" t="s">
        <v>112</v>
      </c>
      <c r="J30" s="12">
        <v>194</v>
      </c>
      <c r="K30" s="12">
        <v>591</v>
      </c>
      <c r="L30" s="12">
        <v>440988.5</v>
      </c>
      <c r="M30" s="12">
        <v>435773.14999999997</v>
      </c>
      <c r="N30" s="12">
        <v>222.03999999999996</v>
      </c>
      <c r="O30" s="12">
        <v>49933.099999999991</v>
      </c>
    </row>
    <row r="31" spans="1:15" x14ac:dyDescent="0.25">
      <c r="A31">
        <f t="shared" si="0"/>
        <v>8084</v>
      </c>
      <c r="B31" t="s">
        <v>43</v>
      </c>
      <c r="C31" t="s">
        <v>93</v>
      </c>
      <c r="E31" s="11" t="s">
        <v>112</v>
      </c>
      <c r="F31" s="51">
        <v>353166</v>
      </c>
      <c r="G31" s="53">
        <v>1033</v>
      </c>
      <c r="I31" s="11" t="s">
        <v>110</v>
      </c>
      <c r="J31" s="12">
        <v>35</v>
      </c>
      <c r="K31" s="12">
        <v>180</v>
      </c>
      <c r="L31" s="12">
        <v>141446</v>
      </c>
      <c r="M31" s="12">
        <v>139661.21</v>
      </c>
      <c r="N31" s="12">
        <v>22</v>
      </c>
      <c r="O31" s="12">
        <v>17627.899999999998</v>
      </c>
    </row>
    <row r="32" spans="1:15" x14ac:dyDescent="0.25">
      <c r="A32">
        <f t="shared" si="0"/>
        <v>8005</v>
      </c>
      <c r="B32" t="s">
        <v>44</v>
      </c>
      <c r="C32" t="s">
        <v>94</v>
      </c>
      <c r="E32" s="11" t="s">
        <v>110</v>
      </c>
      <c r="F32" s="51">
        <v>87720</v>
      </c>
      <c r="G32" s="53">
        <v>323</v>
      </c>
      <c r="I32" s="11" t="s">
        <v>113</v>
      </c>
      <c r="J32" s="12">
        <v>31</v>
      </c>
      <c r="K32" s="12">
        <v>96</v>
      </c>
      <c r="L32" s="12">
        <v>73151.5</v>
      </c>
      <c r="M32" s="12">
        <v>72109.579999999987</v>
      </c>
      <c r="N32" s="12">
        <v>7.01</v>
      </c>
      <c r="O32" s="12">
        <v>10349.099999999999</v>
      </c>
    </row>
    <row r="33" spans="1:15" x14ac:dyDescent="0.25">
      <c r="A33">
        <f t="shared" si="0"/>
        <v>8003</v>
      </c>
      <c r="B33" t="s">
        <v>45</v>
      </c>
      <c r="C33" t="s">
        <v>95</v>
      </c>
      <c r="E33" s="11" t="s">
        <v>113</v>
      </c>
      <c r="F33" s="51">
        <v>229082</v>
      </c>
      <c r="G33" s="53">
        <v>764</v>
      </c>
      <c r="I33" s="11" t="s">
        <v>97</v>
      </c>
      <c r="J33" s="12">
        <v>107</v>
      </c>
      <c r="K33" s="12">
        <v>369</v>
      </c>
      <c r="L33" s="12">
        <v>550520.5</v>
      </c>
      <c r="M33" s="12">
        <v>546238.84</v>
      </c>
      <c r="N33" s="12">
        <v>0.01</v>
      </c>
      <c r="O33" s="12">
        <v>42816.500000000015</v>
      </c>
    </row>
    <row r="34" spans="1:15" x14ac:dyDescent="0.25">
      <c r="A34">
        <f t="shared" si="0"/>
        <v>8083</v>
      </c>
      <c r="B34" t="s">
        <v>46</v>
      </c>
      <c r="C34" t="s">
        <v>96</v>
      </c>
      <c r="E34" s="11" t="s">
        <v>97</v>
      </c>
      <c r="F34" s="51">
        <v>604777</v>
      </c>
      <c r="G34" s="53">
        <v>1484</v>
      </c>
      <c r="I34" s="11" t="s">
        <v>81</v>
      </c>
      <c r="J34" s="12">
        <v>106</v>
      </c>
      <c r="K34" s="12">
        <v>336</v>
      </c>
      <c r="L34" s="12">
        <v>417008</v>
      </c>
      <c r="M34" s="12">
        <v>413355.61</v>
      </c>
      <c r="N34" s="12">
        <v>292.02</v>
      </c>
      <c r="O34" s="12">
        <v>33603.699999999997</v>
      </c>
    </row>
    <row r="35" spans="1:15" x14ac:dyDescent="0.25">
      <c r="A35">
        <f t="shared" si="0"/>
        <v>8035</v>
      </c>
      <c r="B35" t="s">
        <v>47</v>
      </c>
      <c r="C35" t="s">
        <v>97</v>
      </c>
      <c r="E35" s="11" t="s">
        <v>81</v>
      </c>
      <c r="F35" s="51">
        <v>415819</v>
      </c>
      <c r="G35" s="53">
        <v>983</v>
      </c>
      <c r="I35" s="11" t="s">
        <v>72</v>
      </c>
      <c r="J35" s="12">
        <v>15</v>
      </c>
      <c r="K35" s="12">
        <v>74</v>
      </c>
      <c r="L35" s="12">
        <v>74165.5</v>
      </c>
      <c r="M35" s="12">
        <v>73371.240000000005</v>
      </c>
      <c r="N35" s="12">
        <v>0</v>
      </c>
      <c r="O35" s="12">
        <v>7942.6</v>
      </c>
    </row>
    <row r="36" spans="1:15" x14ac:dyDescent="0.25">
      <c r="A36">
        <f t="shared" si="0"/>
        <v>8064</v>
      </c>
      <c r="B36" t="s">
        <v>48</v>
      </c>
      <c r="C36" t="s">
        <v>98</v>
      </c>
      <c r="E36" s="11" t="s">
        <v>72</v>
      </c>
      <c r="F36" s="51">
        <v>138647</v>
      </c>
      <c r="G36" s="53">
        <v>344</v>
      </c>
      <c r="I36" s="11" t="s">
        <v>90</v>
      </c>
      <c r="J36" s="12">
        <v>16</v>
      </c>
      <c r="K36" s="12">
        <v>62</v>
      </c>
      <c r="L36" s="12">
        <v>53097</v>
      </c>
      <c r="M36" s="12">
        <v>52055.18</v>
      </c>
      <c r="N36" s="12">
        <v>0.03</v>
      </c>
      <c r="O36" s="12">
        <v>10417.9</v>
      </c>
    </row>
    <row r="37" spans="1:15" x14ac:dyDescent="0.25">
      <c r="A37">
        <f t="shared" si="0"/>
        <v>8082</v>
      </c>
      <c r="B37" t="s">
        <v>49</v>
      </c>
      <c r="C37" t="s">
        <v>99</v>
      </c>
      <c r="E37" s="11" t="s">
        <v>90</v>
      </c>
      <c r="F37" s="51">
        <v>255877</v>
      </c>
      <c r="G37" s="53">
        <v>788</v>
      </c>
      <c r="I37" s="11" t="s">
        <v>114</v>
      </c>
      <c r="J37" s="12">
        <v>22</v>
      </c>
      <c r="K37" s="12">
        <v>191</v>
      </c>
      <c r="L37" s="12">
        <v>103777.5</v>
      </c>
      <c r="M37" s="12">
        <v>103253.82</v>
      </c>
      <c r="N37" s="12">
        <v>0</v>
      </c>
      <c r="O37" s="12">
        <v>5236.7999999999993</v>
      </c>
    </row>
    <row r="38" spans="1:15" x14ac:dyDescent="0.25">
      <c r="A38">
        <f t="shared" si="0"/>
        <v>8022</v>
      </c>
      <c r="B38" t="s">
        <v>50</v>
      </c>
      <c r="C38" t="s">
        <v>100</v>
      </c>
      <c r="E38" s="11" t="s">
        <v>114</v>
      </c>
      <c r="F38" s="51">
        <v>151443</v>
      </c>
      <c r="G38" s="53">
        <v>481</v>
      </c>
      <c r="I38" s="11" t="s">
        <v>130</v>
      </c>
      <c r="J38" s="12"/>
      <c r="K38" s="12">
        <v>5</v>
      </c>
      <c r="L38" s="12">
        <v>8631</v>
      </c>
      <c r="M38" s="12">
        <v>8631</v>
      </c>
      <c r="N38" s="12">
        <v>0</v>
      </c>
      <c r="O38" s="12">
        <v>0</v>
      </c>
    </row>
    <row r="39" spans="1:15" x14ac:dyDescent="0.25">
      <c r="A39">
        <f t="shared" si="0"/>
        <v>8006</v>
      </c>
      <c r="B39" t="s">
        <v>51</v>
      </c>
      <c r="C39" t="s">
        <v>101</v>
      </c>
      <c r="E39" s="11" t="s">
        <v>130</v>
      </c>
      <c r="F39" s="51">
        <v>153737</v>
      </c>
      <c r="G39" s="53">
        <v>245</v>
      </c>
      <c r="I39" s="11" t="s">
        <v>76</v>
      </c>
      <c r="J39" s="12">
        <v>131</v>
      </c>
      <c r="K39" s="12">
        <v>258</v>
      </c>
      <c r="L39" s="12">
        <v>185216.5</v>
      </c>
      <c r="M39" s="12">
        <v>182266.47999999998</v>
      </c>
      <c r="N39" s="12">
        <v>63.019999999999996</v>
      </c>
      <c r="O39" s="12">
        <v>28870</v>
      </c>
    </row>
    <row r="40" spans="1:15" x14ac:dyDescent="0.25">
      <c r="A40">
        <f t="shared" si="0"/>
        <v>8062</v>
      </c>
      <c r="B40" t="s">
        <v>52</v>
      </c>
      <c r="C40" t="s">
        <v>102</v>
      </c>
      <c r="E40" s="11" t="s">
        <v>76</v>
      </c>
      <c r="F40" s="51">
        <v>204292</v>
      </c>
      <c r="G40" s="53">
        <v>631</v>
      </c>
      <c r="I40" s="11" t="s">
        <v>79</v>
      </c>
      <c r="J40" s="12">
        <v>110</v>
      </c>
      <c r="K40" s="12">
        <v>216</v>
      </c>
      <c r="L40" s="12">
        <v>244128.5</v>
      </c>
      <c r="M40" s="12">
        <v>242412.35</v>
      </c>
      <c r="N40" s="12">
        <v>63</v>
      </c>
      <c r="O40" s="12">
        <v>16531.5</v>
      </c>
    </row>
    <row r="41" spans="1:15" x14ac:dyDescent="0.25">
      <c r="A41">
        <f t="shared" si="0"/>
        <v>8009</v>
      </c>
      <c r="B41" t="s">
        <v>53</v>
      </c>
      <c r="C41" t="s">
        <v>103</v>
      </c>
      <c r="E41" s="11" t="s">
        <v>79</v>
      </c>
      <c r="F41" s="51">
        <v>696553</v>
      </c>
      <c r="G41" s="53">
        <v>1696</v>
      </c>
      <c r="I41" s="11" t="s">
        <v>102</v>
      </c>
      <c r="J41" s="12">
        <v>24</v>
      </c>
      <c r="K41" s="12">
        <v>73</v>
      </c>
      <c r="L41" s="12">
        <v>54640.5</v>
      </c>
      <c r="M41" s="12">
        <v>53489.659999999996</v>
      </c>
      <c r="N41" s="12">
        <v>11.03</v>
      </c>
      <c r="O41" s="12">
        <v>11398.099999999999</v>
      </c>
    </row>
    <row r="42" spans="1:15" x14ac:dyDescent="0.25">
      <c r="A42">
        <f t="shared" si="0"/>
        <v>8011</v>
      </c>
      <c r="B42" t="s">
        <v>54</v>
      </c>
      <c r="C42" t="s">
        <v>104</v>
      </c>
      <c r="E42" s="11" t="s">
        <v>102</v>
      </c>
      <c r="F42" s="51">
        <v>316141</v>
      </c>
      <c r="G42" s="53">
        <v>901</v>
      </c>
      <c r="I42" s="11" t="s">
        <v>89</v>
      </c>
      <c r="J42" s="12">
        <v>19</v>
      </c>
      <c r="K42" s="12">
        <v>60</v>
      </c>
      <c r="L42" s="12">
        <v>32386.5</v>
      </c>
      <c r="M42" s="12">
        <v>32218.1</v>
      </c>
      <c r="N42" s="12">
        <v>0</v>
      </c>
      <c r="O42" s="12">
        <v>1684</v>
      </c>
    </row>
    <row r="43" spans="1:15" x14ac:dyDescent="0.25">
      <c r="A43">
        <f t="shared" si="0"/>
        <v>8010</v>
      </c>
      <c r="B43" t="s">
        <v>55</v>
      </c>
      <c r="C43" t="s">
        <v>105</v>
      </c>
      <c r="E43" s="11" t="s">
        <v>89</v>
      </c>
      <c r="F43" s="51">
        <v>129855</v>
      </c>
      <c r="G43" s="53">
        <v>421</v>
      </c>
      <c r="I43" s="11" t="s">
        <v>98</v>
      </c>
      <c r="J43" s="12">
        <v>48</v>
      </c>
      <c r="K43" s="12">
        <v>126</v>
      </c>
      <c r="L43" s="12">
        <v>83313</v>
      </c>
      <c r="M43" s="12">
        <v>82341.73</v>
      </c>
      <c r="N43" s="12">
        <v>1</v>
      </c>
      <c r="O43" s="12">
        <v>9702.6999999999989</v>
      </c>
    </row>
    <row r="44" spans="1:15" x14ac:dyDescent="0.25">
      <c r="A44">
        <f t="shared" si="0"/>
        <v>8012</v>
      </c>
      <c r="B44" t="s">
        <v>56</v>
      </c>
      <c r="C44" t="s">
        <v>106</v>
      </c>
      <c r="E44" s="11" t="s">
        <v>98</v>
      </c>
      <c r="F44" s="51">
        <v>165191</v>
      </c>
      <c r="G44" s="53">
        <v>456</v>
      </c>
      <c r="I44" s="11" t="s">
        <v>85</v>
      </c>
      <c r="J44" s="12">
        <v>211</v>
      </c>
      <c r="K44" s="12">
        <v>535</v>
      </c>
      <c r="L44" s="12">
        <v>417478.5</v>
      </c>
      <c r="M44" s="12">
        <v>413301.73</v>
      </c>
      <c r="N44" s="12">
        <v>141.04000000000002</v>
      </c>
      <c r="O44" s="12">
        <v>40357.299999999996</v>
      </c>
    </row>
    <row r="45" spans="1:15" x14ac:dyDescent="0.25">
      <c r="A45">
        <f t="shared" si="0"/>
        <v>8014</v>
      </c>
      <c r="B45" t="s">
        <v>57</v>
      </c>
      <c r="C45" t="s">
        <v>107</v>
      </c>
      <c r="E45" s="11" t="s">
        <v>85</v>
      </c>
      <c r="F45" s="51">
        <v>272353</v>
      </c>
      <c r="G45" s="53">
        <v>703</v>
      </c>
      <c r="I45" s="11" t="s">
        <v>136</v>
      </c>
      <c r="J45" s="12">
        <v>12</v>
      </c>
      <c r="K45" s="12">
        <v>24</v>
      </c>
      <c r="L45" s="12">
        <v>20754.900000000001</v>
      </c>
      <c r="M45" s="12">
        <v>20706.170000000002</v>
      </c>
      <c r="N45" s="12">
        <v>0</v>
      </c>
      <c r="O45" s="12">
        <v>487.3</v>
      </c>
    </row>
    <row r="46" spans="1:15" x14ac:dyDescent="0.25">
      <c r="A46">
        <f t="shared" si="0"/>
        <v>8019</v>
      </c>
      <c r="B46" t="s">
        <v>19</v>
      </c>
      <c r="C46" t="s">
        <v>108</v>
      </c>
      <c r="E46" s="11" t="s">
        <v>136</v>
      </c>
      <c r="F46" s="51">
        <v>212906</v>
      </c>
      <c r="G46" s="53">
        <v>584</v>
      </c>
      <c r="I46" s="11" t="s">
        <v>86</v>
      </c>
      <c r="J46" s="12">
        <v>158</v>
      </c>
      <c r="K46" s="12">
        <v>501</v>
      </c>
      <c r="L46" s="12">
        <v>337397</v>
      </c>
      <c r="M46" s="12">
        <v>330047.96999999997</v>
      </c>
      <c r="N46" s="12">
        <v>122.03</v>
      </c>
      <c r="O46" s="12">
        <v>72270</v>
      </c>
    </row>
    <row r="47" spans="1:15" x14ac:dyDescent="0.25">
      <c r="A47">
        <f t="shared" si="0"/>
        <v>8074</v>
      </c>
      <c r="B47" t="s">
        <v>58</v>
      </c>
      <c r="C47" t="s">
        <v>109</v>
      </c>
      <c r="E47" s="11" t="s">
        <v>86</v>
      </c>
      <c r="F47" s="51">
        <v>250156</v>
      </c>
      <c r="G47" s="53">
        <v>771</v>
      </c>
      <c r="I47" s="11" t="s">
        <v>83</v>
      </c>
      <c r="J47" s="12">
        <v>120</v>
      </c>
      <c r="K47" s="12">
        <v>628</v>
      </c>
      <c r="L47" s="12">
        <v>333220</v>
      </c>
      <c r="M47" s="12">
        <v>324256.21999999997</v>
      </c>
      <c r="N47" s="12">
        <v>57.029999999999994</v>
      </c>
      <c r="O47" s="12">
        <v>89067.499999999985</v>
      </c>
    </row>
    <row r="48" spans="1:15" x14ac:dyDescent="0.25">
      <c r="A48">
        <f t="shared" si="0"/>
        <v>8029</v>
      </c>
      <c r="B48" t="s">
        <v>59</v>
      </c>
      <c r="C48" t="s">
        <v>110</v>
      </c>
      <c r="E48" s="11" t="s">
        <v>83</v>
      </c>
      <c r="F48" s="51">
        <v>284937</v>
      </c>
      <c r="G48" s="53">
        <v>864</v>
      </c>
      <c r="I48" s="11" t="s">
        <v>80</v>
      </c>
      <c r="J48" s="12">
        <v>22</v>
      </c>
      <c r="K48" s="12">
        <v>40</v>
      </c>
      <c r="L48" s="12">
        <v>18091.5</v>
      </c>
      <c r="M48" s="12">
        <v>17781.57</v>
      </c>
      <c r="N48" s="12">
        <v>0</v>
      </c>
      <c r="O48" s="12">
        <v>3099.3</v>
      </c>
    </row>
    <row r="49" spans="1:15" x14ac:dyDescent="0.25">
      <c r="A49">
        <f t="shared" si="0"/>
        <v>8017</v>
      </c>
      <c r="B49" t="s">
        <v>60</v>
      </c>
      <c r="C49" t="s">
        <v>111</v>
      </c>
      <c r="E49" s="11" t="s">
        <v>80</v>
      </c>
      <c r="F49" s="51">
        <v>120543</v>
      </c>
      <c r="G49" s="53">
        <v>416</v>
      </c>
      <c r="I49" s="11" t="s">
        <v>91</v>
      </c>
      <c r="J49" s="12">
        <v>53</v>
      </c>
      <c r="K49" s="12">
        <v>170</v>
      </c>
      <c r="L49" s="12">
        <v>110640.5</v>
      </c>
      <c r="M49" s="12">
        <v>108883.1</v>
      </c>
      <c r="N49" s="12">
        <v>2</v>
      </c>
      <c r="O49" s="12">
        <v>17554</v>
      </c>
    </row>
    <row r="50" spans="1:15" x14ac:dyDescent="0.25">
      <c r="A50">
        <f t="shared" si="0"/>
        <v>8027</v>
      </c>
      <c r="B50" t="s">
        <v>61</v>
      </c>
      <c r="C50" t="s">
        <v>112</v>
      </c>
      <c r="E50" s="11" t="s">
        <v>91</v>
      </c>
      <c r="F50" s="51">
        <v>188726</v>
      </c>
      <c r="G50" s="53">
        <v>562</v>
      </c>
      <c r="I50" s="11" t="s">
        <v>115</v>
      </c>
      <c r="J50" s="12">
        <v>99</v>
      </c>
      <c r="K50" s="12">
        <v>288</v>
      </c>
      <c r="L50" s="12">
        <v>158549</v>
      </c>
      <c r="M50" s="12">
        <v>154320.76999999999</v>
      </c>
      <c r="N50" s="12">
        <v>0.03</v>
      </c>
      <c r="O50" s="12">
        <v>42282.000000000015</v>
      </c>
    </row>
    <row r="51" spans="1:15" x14ac:dyDescent="0.25">
      <c r="A51">
        <f t="shared" si="0"/>
        <v>8032</v>
      </c>
      <c r="B51" t="s">
        <v>62</v>
      </c>
      <c r="C51" t="s">
        <v>113</v>
      </c>
      <c r="E51" s="11" t="s">
        <v>115</v>
      </c>
      <c r="F51" s="51">
        <v>135718</v>
      </c>
      <c r="G51" s="53">
        <v>463</v>
      </c>
      <c r="I51" s="11" t="s">
        <v>109</v>
      </c>
      <c r="J51" s="12">
        <v>93</v>
      </c>
      <c r="K51" s="12">
        <v>244</v>
      </c>
      <c r="L51" s="12">
        <v>232313</v>
      </c>
      <c r="M51" s="12">
        <v>230222.45</v>
      </c>
      <c r="N51" s="12">
        <v>119</v>
      </c>
      <c r="O51" s="12">
        <v>19715.499999999993</v>
      </c>
    </row>
    <row r="52" spans="1:15" x14ac:dyDescent="0.25">
      <c r="A52">
        <f t="shared" si="0"/>
        <v>8057</v>
      </c>
      <c r="B52" t="s">
        <v>63</v>
      </c>
      <c r="C52" t="s">
        <v>114</v>
      </c>
      <c r="E52" s="11" t="s">
        <v>109</v>
      </c>
      <c r="F52" s="51">
        <v>210357</v>
      </c>
      <c r="G52" s="53">
        <v>469</v>
      </c>
      <c r="I52" s="11" t="s">
        <v>117</v>
      </c>
      <c r="J52" s="12">
        <v>46</v>
      </c>
      <c r="K52" s="12">
        <v>140</v>
      </c>
      <c r="L52" s="12">
        <v>83195</v>
      </c>
      <c r="M52" s="12">
        <v>82354.570000000007</v>
      </c>
      <c r="N52" s="12">
        <v>45</v>
      </c>
      <c r="O52" s="12">
        <v>7954.3</v>
      </c>
    </row>
    <row r="53" spans="1:15" x14ac:dyDescent="0.25">
      <c r="A53">
        <f t="shared" si="0"/>
        <v>8073</v>
      </c>
      <c r="B53" t="s">
        <v>64</v>
      </c>
      <c r="C53" t="s">
        <v>115</v>
      </c>
      <c r="E53" s="11" t="s">
        <v>117</v>
      </c>
      <c r="F53" s="51">
        <v>83454</v>
      </c>
      <c r="G53" s="53">
        <v>291</v>
      </c>
      <c r="I53" s="11" t="s">
        <v>77</v>
      </c>
      <c r="J53" s="12">
        <v>21</v>
      </c>
      <c r="K53" s="12">
        <v>46</v>
      </c>
      <c r="L53" s="12">
        <v>43246</v>
      </c>
      <c r="M53" s="12">
        <v>43068.37</v>
      </c>
      <c r="N53" s="12">
        <v>0</v>
      </c>
      <c r="O53" s="12">
        <v>1776.3</v>
      </c>
    </row>
    <row r="54" spans="1:15" x14ac:dyDescent="0.25">
      <c r="A54">
        <f t="shared" si="0"/>
        <v>8016</v>
      </c>
      <c r="B54" t="s">
        <v>65</v>
      </c>
      <c r="C54" t="s">
        <v>116</v>
      </c>
      <c r="E54" s="11" t="s">
        <v>77</v>
      </c>
      <c r="F54" s="51">
        <v>354462</v>
      </c>
      <c r="G54" s="53">
        <v>868</v>
      </c>
      <c r="I54" s="11" t="s">
        <v>87</v>
      </c>
      <c r="J54" s="12">
        <v>36</v>
      </c>
      <c r="K54" s="12">
        <v>87</v>
      </c>
      <c r="L54" s="12">
        <v>49975</v>
      </c>
      <c r="M54" s="12">
        <v>49000.43</v>
      </c>
      <c r="N54" s="12">
        <v>3</v>
      </c>
      <c r="O54" s="12">
        <v>9715.6999999999989</v>
      </c>
    </row>
    <row r="55" spans="1:15" x14ac:dyDescent="0.25">
      <c r="A55">
        <f t="shared" si="0"/>
        <v>8075</v>
      </c>
      <c r="B55" t="s">
        <v>66</v>
      </c>
      <c r="C55" t="s">
        <v>117</v>
      </c>
      <c r="E55" s="11" t="s">
        <v>87</v>
      </c>
      <c r="F55" s="51">
        <v>226014</v>
      </c>
      <c r="G55" s="53">
        <v>742</v>
      </c>
      <c r="I55" s="11" t="s">
        <v>75</v>
      </c>
      <c r="J55" s="12">
        <v>135</v>
      </c>
      <c r="K55" s="12">
        <v>338</v>
      </c>
      <c r="L55" s="12">
        <v>224979</v>
      </c>
      <c r="M55" s="12">
        <v>220992.58</v>
      </c>
      <c r="N55" s="12">
        <v>78.02</v>
      </c>
      <c r="O55" s="12">
        <v>39083.999999999993</v>
      </c>
    </row>
    <row r="56" spans="1:15" x14ac:dyDescent="0.25">
      <c r="A56">
        <f t="shared" si="0"/>
        <v>8025</v>
      </c>
      <c r="B56" t="s">
        <v>67</v>
      </c>
      <c r="C56" t="s">
        <v>118</v>
      </c>
      <c r="E56" s="11" t="s">
        <v>75</v>
      </c>
      <c r="F56" s="51">
        <v>258268</v>
      </c>
      <c r="G56" s="53">
        <v>732</v>
      </c>
      <c r="I56" s="11" t="s">
        <v>92</v>
      </c>
      <c r="J56" s="12">
        <v>44</v>
      </c>
      <c r="K56" s="12">
        <v>172</v>
      </c>
      <c r="L56" s="12">
        <v>169821</v>
      </c>
      <c r="M56" s="12">
        <v>167137.03</v>
      </c>
      <c r="N56" s="12">
        <v>0</v>
      </c>
      <c r="O56" s="12">
        <v>26839.7</v>
      </c>
    </row>
    <row r="57" spans="1:15" x14ac:dyDescent="0.25">
      <c r="A57">
        <f t="shared" si="0"/>
        <v>8080</v>
      </c>
      <c r="B57" t="s">
        <v>128</v>
      </c>
      <c r="C57" t="s">
        <v>92</v>
      </c>
      <c r="E57" s="11" t="s">
        <v>92</v>
      </c>
      <c r="F57" s="51">
        <v>575714</v>
      </c>
      <c r="G57" s="53">
        <v>1250</v>
      </c>
      <c r="I57" s="11" t="s">
        <v>82</v>
      </c>
      <c r="J57" s="12">
        <v>121</v>
      </c>
      <c r="K57" s="12">
        <v>341</v>
      </c>
      <c r="L57" s="12">
        <v>599700.5</v>
      </c>
      <c r="M57" s="12">
        <v>593503.54</v>
      </c>
      <c r="N57" s="12">
        <v>168.01</v>
      </c>
      <c r="O57" s="12">
        <v>60289.500000000007</v>
      </c>
    </row>
    <row r="58" spans="1:15" x14ac:dyDescent="0.25">
      <c r="A58">
        <f t="shared" si="0"/>
        <v>8000</v>
      </c>
      <c r="B58" t="s">
        <v>125</v>
      </c>
      <c r="C58" t="s">
        <v>129</v>
      </c>
      <c r="E58" s="11" t="s">
        <v>82</v>
      </c>
      <c r="F58" s="51">
        <v>1880992</v>
      </c>
      <c r="G58" s="53">
        <v>2774</v>
      </c>
      <c r="I58" s="11" t="s">
        <v>99</v>
      </c>
      <c r="J58" s="12">
        <v>66</v>
      </c>
      <c r="K58" s="12">
        <v>129</v>
      </c>
      <c r="L58" s="12">
        <v>330374.5</v>
      </c>
      <c r="M58" s="12">
        <v>329781.99</v>
      </c>
      <c r="N58" s="12">
        <v>67</v>
      </c>
      <c r="O58" s="12">
        <v>5255.0999999999995</v>
      </c>
    </row>
    <row r="59" spans="1:15" x14ac:dyDescent="0.25">
      <c r="A59">
        <f t="shared" si="0"/>
        <v>8058</v>
      </c>
      <c r="B59" t="s">
        <v>126</v>
      </c>
      <c r="C59" t="s">
        <v>130</v>
      </c>
      <c r="E59" s="11" t="s">
        <v>99</v>
      </c>
      <c r="F59" s="51">
        <v>3751185</v>
      </c>
      <c r="G59" s="53">
        <v>5003</v>
      </c>
      <c r="I59" s="11" t="s">
        <v>96</v>
      </c>
      <c r="J59" s="12">
        <v>298</v>
      </c>
      <c r="K59" s="12">
        <v>518</v>
      </c>
      <c r="L59" s="12">
        <v>983391.49999999988</v>
      </c>
      <c r="M59" s="12">
        <v>978696.78999999992</v>
      </c>
      <c r="N59" s="12">
        <v>0.04</v>
      </c>
      <c r="O59" s="12">
        <v>46946.7</v>
      </c>
    </row>
    <row r="60" spans="1:15" x14ac:dyDescent="0.25">
      <c r="A60">
        <f t="shared" si="0"/>
        <v>8067</v>
      </c>
      <c r="B60" t="s">
        <v>127</v>
      </c>
      <c r="C60" t="s">
        <v>136</v>
      </c>
      <c r="E60" s="11" t="s">
        <v>96</v>
      </c>
      <c r="F60" s="51">
        <v>2008173</v>
      </c>
      <c r="G60" s="53">
        <v>2936</v>
      </c>
      <c r="I60" s="11" t="s">
        <v>93</v>
      </c>
      <c r="J60" s="12">
        <v>334</v>
      </c>
      <c r="K60" s="12">
        <v>700</v>
      </c>
      <c r="L60" s="12">
        <v>973721.2</v>
      </c>
      <c r="M60" s="12">
        <v>965177.62999999989</v>
      </c>
      <c r="N60" s="12">
        <v>6.9999999999999993E-2</v>
      </c>
      <c r="O60" s="12">
        <v>85435</v>
      </c>
    </row>
    <row r="61" spans="1:15" x14ac:dyDescent="0.25">
      <c r="E61" s="11" t="s">
        <v>93</v>
      </c>
      <c r="F61" s="51">
        <v>1121180</v>
      </c>
      <c r="G61" s="53">
        <v>2071</v>
      </c>
      <c r="I61" s="11" t="s">
        <v>153</v>
      </c>
      <c r="J61" s="12"/>
      <c r="K61" s="12"/>
      <c r="L61" s="12"/>
      <c r="M61" s="12">
        <v>0</v>
      </c>
      <c r="N61" s="12"/>
      <c r="O61" s="12">
        <v>0</v>
      </c>
    </row>
    <row r="62" spans="1:15" x14ac:dyDescent="0.25">
      <c r="E62" s="11"/>
      <c r="F62" s="51">
        <v>14961</v>
      </c>
      <c r="G62" s="53">
        <v>53</v>
      </c>
      <c r="I62" s="11" t="s">
        <v>18</v>
      </c>
      <c r="J62" s="12">
        <v>4930</v>
      </c>
      <c r="K62" s="12">
        <v>13321</v>
      </c>
      <c r="L62" s="12">
        <v>12775245.1</v>
      </c>
      <c r="M62" s="12">
        <v>12632093.940000007</v>
      </c>
      <c r="N62" s="12">
        <v>3444.6500000000005</v>
      </c>
      <c r="O62" s="12">
        <v>1397005.1000000003</v>
      </c>
    </row>
    <row r="63" spans="1:15" x14ac:dyDescent="0.25">
      <c r="E63" s="11" t="s">
        <v>18</v>
      </c>
      <c r="F63" s="51">
        <v>24127615</v>
      </c>
      <c r="G63" s="53">
        <v>52142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3"/>
  <sheetViews>
    <sheetView tabSelected="1" zoomScale="80" zoomScaleNormal="80" workbookViewId="0">
      <selection activeCell="C68" sqref="C68"/>
    </sheetView>
  </sheetViews>
  <sheetFormatPr defaultRowHeight="15" x14ac:dyDescent="0.25"/>
  <cols>
    <col min="1" max="1" width="5.85546875" customWidth="1"/>
    <col min="2" max="2" width="9.5703125" bestFit="1" customWidth="1"/>
    <col min="3" max="3" width="65.5703125" bestFit="1" customWidth="1"/>
    <col min="4" max="4" width="12.140625" bestFit="1" customWidth="1"/>
    <col min="5" max="6" width="13.5703125" bestFit="1" customWidth="1"/>
    <col min="7" max="7" width="13.5703125" customWidth="1"/>
    <col min="8" max="9" width="13.5703125" hidden="1" customWidth="1"/>
    <col min="10" max="10" width="14.140625" customWidth="1"/>
    <col min="11" max="11" width="15.85546875" bestFit="1" customWidth="1"/>
    <col min="12" max="12" width="16.7109375" customWidth="1"/>
    <col min="13" max="13" width="16.140625" customWidth="1"/>
    <col min="14" max="14" width="13.85546875" customWidth="1"/>
    <col min="15" max="15" width="15.85546875" bestFit="1" customWidth="1"/>
    <col min="16" max="16" width="11.42578125" customWidth="1"/>
    <col min="17" max="17" width="18.140625" bestFit="1" customWidth="1"/>
    <col min="18" max="18" width="23" bestFit="1" customWidth="1"/>
    <col min="19" max="19" width="22" bestFit="1" customWidth="1"/>
    <col min="20" max="20" width="13.140625" customWidth="1"/>
    <col min="21" max="21" width="15.85546875" bestFit="1" customWidth="1"/>
    <col min="22" max="22" width="22" bestFit="1" customWidth="1"/>
    <col min="23" max="23" width="16.5703125" customWidth="1"/>
  </cols>
  <sheetData>
    <row r="1" spans="1:23" ht="15.75" x14ac:dyDescent="0.3">
      <c r="A1" s="14" t="s">
        <v>151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.75" x14ac:dyDescent="0.3">
      <c r="A2" s="21" t="s">
        <v>132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</row>
    <row r="3" spans="1:23" ht="15.75" x14ac:dyDescent="0.3">
      <c r="A3" s="49" t="s">
        <v>149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1"/>
      <c r="S3" s="1"/>
      <c r="T3" s="1"/>
    </row>
    <row r="4" spans="1:23" s="23" customFormat="1" ht="15.75" x14ac:dyDescent="0.3">
      <c r="A4" s="50" t="s">
        <v>150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2"/>
      <c r="S4" s="22"/>
      <c r="T4" s="22"/>
    </row>
    <row r="5" spans="1:23" s="23" customFormat="1" ht="15.75" x14ac:dyDescent="0.3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2"/>
      <c r="S5" s="22"/>
      <c r="T5" s="22"/>
    </row>
    <row r="6" spans="1:23" s="23" customFormat="1" ht="15.75" x14ac:dyDescent="0.3">
      <c r="A6" s="21" t="s">
        <v>133</v>
      </c>
      <c r="B6" s="24"/>
      <c r="C6" s="24"/>
      <c r="D6" s="28">
        <v>44774</v>
      </c>
      <c r="E6" s="28">
        <v>44805</v>
      </c>
      <c r="F6" s="28">
        <v>44835</v>
      </c>
      <c r="G6" s="29" t="s">
        <v>134</v>
      </c>
      <c r="H6" s="24"/>
      <c r="I6" s="24"/>
      <c r="J6" s="24"/>
      <c r="K6" s="24"/>
      <c r="L6" s="24"/>
      <c r="M6" s="24"/>
      <c r="N6" s="24"/>
      <c r="O6" s="24"/>
      <c r="P6" s="24"/>
      <c r="Q6" s="24"/>
      <c r="R6" s="22"/>
      <c r="S6" s="22"/>
      <c r="T6" s="22"/>
    </row>
    <row r="7" spans="1:23" s="23" customFormat="1" ht="15.75" x14ac:dyDescent="0.3">
      <c r="A7" s="21"/>
      <c r="B7" s="24"/>
      <c r="C7" s="24"/>
      <c r="D7" s="27">
        <v>5667</v>
      </c>
      <c r="E7" s="27">
        <v>26162</v>
      </c>
      <c r="F7" s="27">
        <v>779</v>
      </c>
      <c r="G7" s="27">
        <f>SUM(D7:F7)</f>
        <v>32608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2"/>
      <c r="S7" s="22"/>
      <c r="T7" s="22"/>
    </row>
    <row r="8" spans="1:23" s="23" customFormat="1" ht="15.75" x14ac:dyDescent="0.3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46"/>
      <c r="S8" s="46"/>
      <c r="T8" s="46"/>
      <c r="U8" s="47"/>
      <c r="V8" s="47"/>
    </row>
    <row r="9" spans="1:23" s="23" customFormat="1" x14ac:dyDescent="0.25">
      <c r="A9" s="55" t="s">
        <v>135</v>
      </c>
      <c r="B9" s="55"/>
      <c r="C9" s="55"/>
      <c r="D9" s="55"/>
      <c r="E9" s="33">
        <f>SUM(E11:E63)</f>
        <v>52089</v>
      </c>
      <c r="F9" s="34">
        <f>E9-J9</f>
        <v>38768</v>
      </c>
      <c r="G9" s="33">
        <f>SUM(G11:G63)</f>
        <v>4930</v>
      </c>
      <c r="H9" s="33">
        <f t="shared" ref="H9:I9" si="0">SUM(H11:H62)</f>
        <v>0</v>
      </c>
      <c r="I9" s="33">
        <f t="shared" si="0"/>
        <v>0</v>
      </c>
      <c r="J9" s="33">
        <f>SUM(J11:J63)</f>
        <v>13321</v>
      </c>
      <c r="K9" s="35">
        <f>IFERROR((G9/F9),0)</f>
        <v>0.12716673545191912</v>
      </c>
      <c r="L9" s="41">
        <f>J9/E9</f>
        <v>0.2557353759910922</v>
      </c>
      <c r="M9" s="36">
        <f>IFERROR((F9/G9),0)</f>
        <v>7.8636916835699795</v>
      </c>
      <c r="N9" s="33" t="s">
        <v>131</v>
      </c>
      <c r="O9" s="33" t="s">
        <v>131</v>
      </c>
      <c r="P9" s="33" t="s">
        <v>131</v>
      </c>
      <c r="Q9" s="37">
        <f>G9/(F9/100)</f>
        <v>12.716673545191911</v>
      </c>
      <c r="R9" s="48">
        <f>SUM(R11:R63)</f>
        <v>24112654</v>
      </c>
      <c r="S9" s="48">
        <f t="shared" ref="S9:V9" si="1">SUM(S11:S63)</f>
        <v>12775245.1</v>
      </c>
      <c r="T9" s="48">
        <f t="shared" si="1"/>
        <v>3444.6500000000005</v>
      </c>
      <c r="U9" s="48">
        <f t="shared" si="1"/>
        <v>139700.50999999995</v>
      </c>
      <c r="V9" s="48">
        <f t="shared" si="1"/>
        <v>12632093.939999999</v>
      </c>
      <c r="W9" s="45">
        <f>V9/R9</f>
        <v>0.52387820685354669</v>
      </c>
    </row>
    <row r="10" spans="1:23" s="1" customFormat="1" ht="78.75" customHeight="1" x14ac:dyDescent="0.25">
      <c r="A10" s="2" t="s">
        <v>0</v>
      </c>
      <c r="B10" s="2" t="s">
        <v>1</v>
      </c>
      <c r="C10" s="3" t="s">
        <v>14</v>
      </c>
      <c r="D10" s="2" t="s">
        <v>121</v>
      </c>
      <c r="E10" s="4" t="s">
        <v>2</v>
      </c>
      <c r="F10" s="4" t="s">
        <v>3</v>
      </c>
      <c r="G10" s="5" t="s">
        <v>4</v>
      </c>
      <c r="H10" s="5" t="s">
        <v>5</v>
      </c>
      <c r="I10" s="5" t="s">
        <v>6</v>
      </c>
      <c r="J10" s="5" t="s">
        <v>7</v>
      </c>
      <c r="K10" s="5" t="s">
        <v>8</v>
      </c>
      <c r="L10" s="40" t="s">
        <v>138</v>
      </c>
      <c r="M10" s="5" t="s">
        <v>9</v>
      </c>
      <c r="N10" s="5" t="s">
        <v>10</v>
      </c>
      <c r="O10" s="5" t="s">
        <v>11</v>
      </c>
      <c r="P10" s="5" t="s">
        <v>12</v>
      </c>
      <c r="Q10" s="5" t="s">
        <v>13</v>
      </c>
      <c r="R10" s="40" t="s">
        <v>139</v>
      </c>
      <c r="S10" s="40" t="s">
        <v>140</v>
      </c>
      <c r="T10" s="40" t="s">
        <v>142</v>
      </c>
      <c r="U10" s="40" t="s">
        <v>143</v>
      </c>
      <c r="V10" s="40" t="s">
        <v>141</v>
      </c>
      <c r="W10" s="42" t="s">
        <v>144</v>
      </c>
    </row>
    <row r="11" spans="1:23" s="1" customFormat="1" x14ac:dyDescent="0.25">
      <c r="A11" s="6">
        <v>2022</v>
      </c>
      <c r="B11" s="6" t="s">
        <v>119</v>
      </c>
      <c r="C11" s="54" t="str">
        <f>КУБ!B23</f>
        <v>Махачкала, пр. Гамидова, 48</v>
      </c>
      <c r="D11" s="6" t="str">
        <f>VLOOKUP(C11,КУБ!B:C,2,0)</f>
        <v>8024</v>
      </c>
      <c r="E11" s="26">
        <f>IFERROR(VLOOKUP(D11,КУБ!E:G,3,0)," ")</f>
        <v>1596</v>
      </c>
      <c r="F11" s="9">
        <f>E11-J11</f>
        <v>92</v>
      </c>
      <c r="G11" s="9">
        <f>IFERROR(VLOOKUP(D11,КУБ!I:K,2,0)," ")</f>
        <v>638</v>
      </c>
      <c r="H11" s="9" t="s">
        <v>131</v>
      </c>
      <c r="I11" s="8" t="s">
        <v>131</v>
      </c>
      <c r="J11" s="7">
        <f>IFERROR(VLOOKUP(D11,КУБ!I:K,3,0)," ")</f>
        <v>1504</v>
      </c>
      <c r="K11" s="8">
        <f>IFERROR((G11/F11),0)</f>
        <v>6.9347826086956523</v>
      </c>
      <c r="L11" s="8">
        <f>J11/E11</f>
        <v>0.94235588972431072</v>
      </c>
      <c r="M11" s="18">
        <f>IFERROR((F11/G11),0)</f>
        <v>0.14420062695924765</v>
      </c>
      <c r="N11" s="6">
        <f>IFERROR(RANK(G11,$G$11:$G$63)," ")</f>
        <v>1</v>
      </c>
      <c r="O11" s="6">
        <f>IFERROR(RANK(K11,$K$11:$K$63)," ")</f>
        <v>1</v>
      </c>
      <c r="P11" s="6">
        <f>SUM(N11:O11)</f>
        <v>2</v>
      </c>
      <c r="Q11" s="19">
        <f>G11/(F11/100)</f>
        <v>693.47826086956513</v>
      </c>
      <c r="R11" s="43">
        <f>IFERROR(VLOOKUP(D11,КУБ!E:G,2,0)," ")</f>
        <v>741087</v>
      </c>
      <c r="S11" s="43">
        <f>VLOOKUP(D11,КУБ!I:O,4,0)</f>
        <v>1439809.5</v>
      </c>
      <c r="T11" s="43">
        <f>VLOOKUP(D11,КУБ!I:O,6,0)</f>
        <v>743.05</v>
      </c>
      <c r="U11" s="43">
        <f>VLOOKUP(D11,КУБ!I:O,7,0)/10</f>
        <v>12915.909999999993</v>
      </c>
      <c r="V11" s="43">
        <f>VLOOKUP(D11,КУБ!I:O,5,0)</f>
        <v>1426150.54</v>
      </c>
      <c r="W11" s="44">
        <f>IFERROR(V11/R11,0)</f>
        <v>1.9244036665060917</v>
      </c>
    </row>
    <row r="12" spans="1:23" s="1" customFormat="1" x14ac:dyDescent="0.25">
      <c r="A12" s="6">
        <v>2022</v>
      </c>
      <c r="B12" s="6" t="s">
        <v>119</v>
      </c>
      <c r="C12" s="54" t="str">
        <f>КУБ!B24</f>
        <v>Махачкала, пр. Гамидова, 57</v>
      </c>
      <c r="D12" s="6" t="str">
        <f>VLOOKUP(C12,КУБ!B:C,2,0)</f>
        <v>8065</v>
      </c>
      <c r="E12" s="26">
        <f>IFERROR(VLOOKUP(D12,КУБ!E:G,3,0)," ")</f>
        <v>703</v>
      </c>
      <c r="F12" s="9">
        <f>E12-J12</f>
        <v>168</v>
      </c>
      <c r="G12" s="9">
        <f>IFERROR(VLOOKUP(D12,КУБ!I:K,2,0)," ")</f>
        <v>211</v>
      </c>
      <c r="H12" s="9" t="s">
        <v>131</v>
      </c>
      <c r="I12" s="8" t="s">
        <v>131</v>
      </c>
      <c r="J12" s="7">
        <f>IFERROR(VLOOKUP(D12,КУБ!I:K,3,0)," ")</f>
        <v>535</v>
      </c>
      <c r="K12" s="8">
        <f>IFERROR((G12/F12),0)</f>
        <v>1.2559523809523809</v>
      </c>
      <c r="L12" s="8">
        <f>J12/E12</f>
        <v>0.76102418207681366</v>
      </c>
      <c r="M12" s="18">
        <f>IFERROR((F12/G12),0)</f>
        <v>0.79620853080568721</v>
      </c>
      <c r="N12" s="6">
        <f>IFERROR(RANK(G12,$G$11:$G$63)," ")</f>
        <v>6</v>
      </c>
      <c r="O12" s="6">
        <f>IFERROR(RANK(K12,$K$11:$K$63)," ")</f>
        <v>2</v>
      </c>
      <c r="P12" s="6">
        <f>SUM(N12:O12)</f>
        <v>8</v>
      </c>
      <c r="Q12" s="19">
        <f>G12/(F12/100)</f>
        <v>125.5952380952381</v>
      </c>
      <c r="R12" s="43">
        <f>IFERROR(VLOOKUP(D12,КУБ!E:G,2,0)," ")</f>
        <v>272353</v>
      </c>
      <c r="S12" s="43">
        <f>VLOOKUP(D12,КУБ!I:O,4,0)</f>
        <v>417478.5</v>
      </c>
      <c r="T12" s="43">
        <f>VLOOKUP(D12,КУБ!I:O,6,0)</f>
        <v>141.04000000000002</v>
      </c>
      <c r="U12" s="43">
        <f>VLOOKUP(D12,КУБ!I:O,7,0)/10</f>
        <v>4035.7299999999996</v>
      </c>
      <c r="V12" s="43">
        <f>VLOOKUP(D12,КУБ!I:O,5,0)</f>
        <v>413301.73</v>
      </c>
      <c r="W12" s="44">
        <f>IFERROR(V12/R12,0)</f>
        <v>1.5175222229973599</v>
      </c>
    </row>
    <row r="13" spans="1:23" s="1" customFormat="1" x14ac:dyDescent="0.25">
      <c r="A13" s="6">
        <v>2022</v>
      </c>
      <c r="B13" s="6" t="s">
        <v>119</v>
      </c>
      <c r="C13" s="54" t="str">
        <f>КУБ!B25</f>
        <v>Махачкала, пр. Им. Шамиля, 45</v>
      </c>
      <c r="D13" s="6" t="str">
        <f>VLOOKUP(C13,КУБ!B:C,2,0)</f>
        <v>8068</v>
      </c>
      <c r="E13" s="26">
        <f>IFERROR(VLOOKUP(D13,КУБ!E:G,3,0)," ")</f>
        <v>771</v>
      </c>
      <c r="F13" s="9">
        <f>E13-J13</f>
        <v>270</v>
      </c>
      <c r="G13" s="9">
        <f>IFERROR(VLOOKUP(D13,КУБ!I:K,2,0)," ")</f>
        <v>158</v>
      </c>
      <c r="H13" s="9" t="s">
        <v>131</v>
      </c>
      <c r="I13" s="8" t="s">
        <v>131</v>
      </c>
      <c r="J13" s="7">
        <f>IFERROR(VLOOKUP(D13,КУБ!I:K,3,0)," ")</f>
        <v>501</v>
      </c>
      <c r="K13" s="8">
        <f>IFERROR((G13/F13),0)</f>
        <v>0.58518518518518514</v>
      </c>
      <c r="L13" s="8">
        <f>J13/E13</f>
        <v>0.64980544747081714</v>
      </c>
      <c r="M13" s="18">
        <f>IFERROR((F13/G13),0)</f>
        <v>1.7088607594936709</v>
      </c>
      <c r="N13" s="6">
        <f>IFERROR(RANK(G13,$G$11:$G$63)," ")</f>
        <v>8</v>
      </c>
      <c r="O13" s="6">
        <f>IFERROR(RANK(K13,$K$11:$K$63)," ")</f>
        <v>3</v>
      </c>
      <c r="P13" s="6">
        <f>SUM(N13:O13)</f>
        <v>11</v>
      </c>
      <c r="Q13" s="19">
        <f>G13/(F13/100)</f>
        <v>58.518518518518512</v>
      </c>
      <c r="R13" s="43">
        <f>IFERROR(VLOOKUP(D13,КУБ!E:G,2,0)," ")</f>
        <v>250156</v>
      </c>
      <c r="S13" s="43">
        <f>VLOOKUP(D13,КУБ!I:O,4,0)</f>
        <v>337397</v>
      </c>
      <c r="T13" s="43">
        <f>VLOOKUP(D13,КУБ!I:O,6,0)</f>
        <v>122.03</v>
      </c>
      <c r="U13" s="43">
        <f>VLOOKUP(D13,КУБ!I:O,7,0)/10</f>
        <v>7227</v>
      </c>
      <c r="V13" s="43">
        <f>VLOOKUP(D13,КУБ!I:O,5,0)</f>
        <v>330047.96999999997</v>
      </c>
      <c r="W13" s="44">
        <f>IFERROR(V13/R13,0)</f>
        <v>1.3193685939973456</v>
      </c>
    </row>
    <row r="14" spans="1:23" s="1" customFormat="1" x14ac:dyDescent="0.25">
      <c r="A14" s="6">
        <v>2022</v>
      </c>
      <c r="B14" s="6" t="s">
        <v>119</v>
      </c>
      <c r="C14" s="54" t="str">
        <f>КУБ!B53</f>
        <v>Махачкала, ул. Ташкентская, 28Б</v>
      </c>
      <c r="D14" s="6" t="str">
        <f>VLOOKUP(C14,КУБ!B:C,2,0)</f>
        <v>8073</v>
      </c>
      <c r="E14" s="26">
        <f>IFERROR(VLOOKUP(D14,КУБ!E:G,3,0)," ")</f>
        <v>463</v>
      </c>
      <c r="F14" s="9">
        <f>E14-J14</f>
        <v>175</v>
      </c>
      <c r="G14" s="9">
        <f>IFERROR(VLOOKUP(D14,КУБ!I:K,2,0)," ")</f>
        <v>99</v>
      </c>
      <c r="H14" s="9" t="s">
        <v>131</v>
      </c>
      <c r="I14" s="8" t="s">
        <v>131</v>
      </c>
      <c r="J14" s="7">
        <f>IFERROR(VLOOKUP(D14,КУБ!I:K,3,0)," ")</f>
        <v>288</v>
      </c>
      <c r="K14" s="8">
        <f>IFERROR((G14/F14),0)</f>
        <v>0.56571428571428573</v>
      </c>
      <c r="L14" s="8">
        <f>J14/E14</f>
        <v>0.62203023758099352</v>
      </c>
      <c r="M14" s="18">
        <f>IFERROR((F14/G14),0)</f>
        <v>1.7676767676767677</v>
      </c>
      <c r="N14" s="6">
        <f>IFERROR(RANK(G14,$G$11:$G$63)," ")</f>
        <v>21</v>
      </c>
      <c r="O14" s="6">
        <f>IFERROR(RANK(K14,$K$11:$K$63)," ")</f>
        <v>4</v>
      </c>
      <c r="P14" s="6">
        <f>SUM(N14:O14)</f>
        <v>25</v>
      </c>
      <c r="Q14" s="19">
        <f>G14/(F14/100)</f>
        <v>56.571428571428569</v>
      </c>
      <c r="R14" s="43">
        <f>IFERROR(VLOOKUP(D14,КУБ!E:G,2,0)," ")</f>
        <v>135718</v>
      </c>
      <c r="S14" s="43">
        <f>VLOOKUP(D14,КУБ!I:O,4,0)</f>
        <v>158549</v>
      </c>
      <c r="T14" s="43">
        <f>VLOOKUP(D14,КУБ!I:O,6,0)</f>
        <v>0.03</v>
      </c>
      <c r="U14" s="43">
        <f>VLOOKUP(D14,КУБ!I:O,7,0)/10</f>
        <v>4228.2000000000016</v>
      </c>
      <c r="V14" s="43">
        <f>VLOOKUP(D14,КУБ!I:O,5,0)</f>
        <v>154320.76999999999</v>
      </c>
      <c r="W14" s="44">
        <f>IFERROR(V14/R14,0)</f>
        <v>1.1370692907352009</v>
      </c>
    </row>
    <row r="15" spans="1:23" s="1" customFormat="1" x14ac:dyDescent="0.25">
      <c r="A15" s="6">
        <v>2022</v>
      </c>
      <c r="B15" s="6" t="s">
        <v>119</v>
      </c>
      <c r="C15" s="54" t="str">
        <f>КУБ!B22</f>
        <v>Махачкала, пр. Гамидова, 12</v>
      </c>
      <c r="D15" s="6" t="str">
        <f>VLOOKUP(C15,КУБ!B:C,2,0)</f>
        <v>8069</v>
      </c>
      <c r="E15" s="26">
        <f>IFERROR(VLOOKUP(D15,КУБ!E:G,3,0)," ")</f>
        <v>864</v>
      </c>
      <c r="F15" s="9">
        <f>E15-J15</f>
        <v>236</v>
      </c>
      <c r="G15" s="9">
        <f>IFERROR(VLOOKUP(D15,КУБ!I:K,2,0)," ")</f>
        <v>120</v>
      </c>
      <c r="H15" s="9" t="s">
        <v>131</v>
      </c>
      <c r="I15" s="8" t="s">
        <v>131</v>
      </c>
      <c r="J15" s="7">
        <f>IFERROR(VLOOKUP(D15,КУБ!I:K,3,0)," ")</f>
        <v>628</v>
      </c>
      <c r="K15" s="8">
        <f>IFERROR((G15/F15),0)</f>
        <v>0.50847457627118642</v>
      </c>
      <c r="L15" s="8">
        <f>J15/E15</f>
        <v>0.72685185185185186</v>
      </c>
      <c r="M15" s="18">
        <f>IFERROR((F15/G15),0)</f>
        <v>1.9666666666666666</v>
      </c>
      <c r="N15" s="6">
        <f>IFERROR(RANK(G15,$G$11:$G$63)," ")</f>
        <v>14</v>
      </c>
      <c r="O15" s="6">
        <f>IFERROR(RANK(K15,$K$11:$K$63)," ")</f>
        <v>5</v>
      </c>
      <c r="P15" s="6">
        <f>SUM(N15:O15)</f>
        <v>19</v>
      </c>
      <c r="Q15" s="19">
        <f>G15/(F15/100)</f>
        <v>50.847457627118644</v>
      </c>
      <c r="R15" s="43">
        <f>IFERROR(VLOOKUP(D15,КУБ!E:G,2,0)," ")</f>
        <v>284937</v>
      </c>
      <c r="S15" s="43">
        <f>VLOOKUP(D15,КУБ!I:O,4,0)</f>
        <v>333220</v>
      </c>
      <c r="T15" s="43">
        <f>VLOOKUP(D15,КУБ!I:O,6,0)</f>
        <v>57.029999999999994</v>
      </c>
      <c r="U15" s="43">
        <f>VLOOKUP(D15,КУБ!I:O,7,0)/10</f>
        <v>8906.7499999999982</v>
      </c>
      <c r="V15" s="43">
        <f>VLOOKUP(D15,КУБ!I:O,5,0)</f>
        <v>324256.21999999997</v>
      </c>
      <c r="W15" s="44">
        <f>IFERROR(V15/R15,0)</f>
        <v>1.1379926790834465</v>
      </c>
    </row>
    <row r="16" spans="1:23" s="1" customFormat="1" x14ac:dyDescent="0.25">
      <c r="A16" s="6">
        <v>2022</v>
      </c>
      <c r="B16" s="6" t="s">
        <v>119</v>
      </c>
      <c r="C16" s="54" t="str">
        <f>КУБ!B50</f>
        <v>Махачкала, ул. Радищева, 3</v>
      </c>
      <c r="D16" s="6" t="str">
        <f>VLOOKUP(C16,КУБ!B:C,2,0)</f>
        <v>8027</v>
      </c>
      <c r="E16" s="26">
        <f>IFERROR(VLOOKUP(D16,КУБ!E:G,3,0)," ")</f>
        <v>1033</v>
      </c>
      <c r="F16" s="9">
        <f>E16-J16</f>
        <v>442</v>
      </c>
      <c r="G16" s="9">
        <f>IFERROR(VLOOKUP(D16,КУБ!I:K,2,0)," ")</f>
        <v>194</v>
      </c>
      <c r="H16" s="9" t="s">
        <v>131</v>
      </c>
      <c r="I16" s="8" t="s">
        <v>131</v>
      </c>
      <c r="J16" s="7">
        <f>IFERROR(VLOOKUP(D16,КУБ!I:K,3,0)," ")</f>
        <v>591</v>
      </c>
      <c r="K16" s="8">
        <f>IFERROR((G16/F16),0)</f>
        <v>0.43891402714932126</v>
      </c>
      <c r="L16" s="8">
        <f>J16/E16</f>
        <v>0.57212003872216843</v>
      </c>
      <c r="M16" s="18">
        <f>IFERROR((F16/G16),0)</f>
        <v>2.2783505154639174</v>
      </c>
      <c r="N16" s="6">
        <f>IFERROR(RANK(G16,$G$11:$G$63)," ")</f>
        <v>7</v>
      </c>
      <c r="O16" s="6">
        <f>IFERROR(RANK(K16,$K$11:$K$63)," ")</f>
        <v>6</v>
      </c>
      <c r="P16" s="6">
        <f>SUM(N16:O16)</f>
        <v>13</v>
      </c>
      <c r="Q16" s="19">
        <f>G16/(F16/100)</f>
        <v>43.891402714932127</v>
      </c>
      <c r="R16" s="43">
        <f>IFERROR(VLOOKUP(D16,КУБ!E:G,2,0)," ")</f>
        <v>353166</v>
      </c>
      <c r="S16" s="43">
        <f>VLOOKUP(D16,КУБ!I:O,4,0)</f>
        <v>440988.5</v>
      </c>
      <c r="T16" s="43">
        <f>VLOOKUP(D16,КУБ!I:O,6,0)</f>
        <v>222.03999999999996</v>
      </c>
      <c r="U16" s="43">
        <f>VLOOKUP(D16,КУБ!I:O,7,0)/10</f>
        <v>4993.3099999999995</v>
      </c>
      <c r="V16" s="43">
        <f>VLOOKUP(D16,КУБ!I:O,5,0)</f>
        <v>435773.14999999997</v>
      </c>
      <c r="W16" s="44">
        <f>IFERROR(V16/R16,0)</f>
        <v>1.2339045944400082</v>
      </c>
    </row>
    <row r="17" spans="1:23" s="1" customFormat="1" x14ac:dyDescent="0.25">
      <c r="A17" s="6">
        <v>2022</v>
      </c>
      <c r="B17" s="6" t="s">
        <v>119</v>
      </c>
      <c r="C17" s="54" t="str">
        <f>КУБ!B47</f>
        <v>Махачкала, ул. М.Ярагского, 80</v>
      </c>
      <c r="D17" s="6" t="str">
        <f>VLOOKUP(C17,КУБ!B:C,2,0)</f>
        <v>8074</v>
      </c>
      <c r="E17" s="26">
        <f>IFERROR(VLOOKUP(D17,КУБ!E:G,3,0)," ")</f>
        <v>469</v>
      </c>
      <c r="F17" s="9">
        <f>E17-J17</f>
        <v>225</v>
      </c>
      <c r="G17" s="9">
        <f>IFERROR(VLOOKUP(D17,КУБ!I:K,2,0)," ")</f>
        <v>93</v>
      </c>
      <c r="H17" s="9" t="s">
        <v>131</v>
      </c>
      <c r="I17" s="8" t="s">
        <v>131</v>
      </c>
      <c r="J17" s="7">
        <f>IFERROR(VLOOKUP(D17,КУБ!I:K,3,0)," ")</f>
        <v>244</v>
      </c>
      <c r="K17" s="8">
        <f>IFERROR((G17/F17),0)</f>
        <v>0.41333333333333333</v>
      </c>
      <c r="L17" s="8">
        <f>J17/E17</f>
        <v>0.52025586353944564</v>
      </c>
      <c r="M17" s="18">
        <f>IFERROR((F17/G17),0)</f>
        <v>2.4193548387096775</v>
      </c>
      <c r="N17" s="6">
        <f>IFERROR(RANK(G17,$G$11:$G$63)," ")</f>
        <v>22</v>
      </c>
      <c r="O17" s="6">
        <f>IFERROR(RANK(K17,$K$11:$K$63)," ")</f>
        <v>7</v>
      </c>
      <c r="P17" s="6">
        <f>SUM(N17:O17)</f>
        <v>29</v>
      </c>
      <c r="Q17" s="19">
        <f>G17/(F17/100)</f>
        <v>41.333333333333336</v>
      </c>
      <c r="R17" s="43">
        <f>IFERROR(VLOOKUP(D17,КУБ!E:G,2,0)," ")</f>
        <v>210357</v>
      </c>
      <c r="S17" s="43">
        <f>VLOOKUP(D17,КУБ!I:O,4,0)</f>
        <v>232313</v>
      </c>
      <c r="T17" s="43">
        <f>VLOOKUP(D17,КУБ!I:O,6,0)</f>
        <v>119</v>
      </c>
      <c r="U17" s="43">
        <f>VLOOKUP(D17,КУБ!I:O,7,0)/10</f>
        <v>1971.5499999999993</v>
      </c>
      <c r="V17" s="43">
        <f>VLOOKUP(D17,КУБ!I:O,5,0)</f>
        <v>230222.45</v>
      </c>
      <c r="W17" s="44">
        <f>IFERROR(V17/R17,0)</f>
        <v>1.0944368383272247</v>
      </c>
    </row>
    <row r="18" spans="1:23" s="1" customFormat="1" x14ac:dyDescent="0.25">
      <c r="A18" s="6">
        <v>2022</v>
      </c>
      <c r="B18" s="6" t="s">
        <v>119</v>
      </c>
      <c r="C18" s="54" t="str">
        <f>КУБ!B27</f>
        <v>Махачкала, пр. Им.Шамиля, 101</v>
      </c>
      <c r="D18" s="6" t="str">
        <f>VLOOKUP(C18,КУБ!B:C,2,0)</f>
        <v>8015</v>
      </c>
      <c r="E18" s="26">
        <f>IFERROR(VLOOKUP(D18,КУБ!E:G,3,0)," ")</f>
        <v>1232</v>
      </c>
      <c r="F18" s="9">
        <f>E18-J18</f>
        <v>565</v>
      </c>
      <c r="G18" s="9">
        <f>IFERROR(VLOOKUP(D18,КУБ!I:K,2,0)," ")</f>
        <v>233</v>
      </c>
      <c r="H18" s="9" t="s">
        <v>131</v>
      </c>
      <c r="I18" s="8" t="s">
        <v>131</v>
      </c>
      <c r="J18" s="7">
        <f>IFERROR(VLOOKUP(D18,КУБ!I:K,3,0)," ")</f>
        <v>667</v>
      </c>
      <c r="K18" s="8">
        <f>IFERROR((G18/F18),0)</f>
        <v>0.41238938053097346</v>
      </c>
      <c r="L18" s="8">
        <f>J18/E18</f>
        <v>0.54139610389610393</v>
      </c>
      <c r="M18" s="18">
        <f>IFERROR((F18/G18),0)</f>
        <v>2.4248927038626609</v>
      </c>
      <c r="N18" s="6">
        <f>IFERROR(RANK(G18,$G$11:$G$63)," ")</f>
        <v>4</v>
      </c>
      <c r="O18" s="6">
        <f>IFERROR(RANK(K18,$K$11:$K$63)," ")</f>
        <v>8</v>
      </c>
      <c r="P18" s="6">
        <f>SUM(N18:O18)</f>
        <v>12</v>
      </c>
      <c r="Q18" s="19">
        <f>G18/(F18/100)</f>
        <v>41.238938053097343</v>
      </c>
      <c r="R18" s="43">
        <f>IFERROR(VLOOKUP(D18,КУБ!E:G,2,0)," ")</f>
        <v>474256</v>
      </c>
      <c r="S18" s="43">
        <f>VLOOKUP(D18,КУБ!I:O,4,0)</f>
        <v>548548</v>
      </c>
      <c r="T18" s="43">
        <f>VLOOKUP(D18,КУБ!I:O,6,0)</f>
        <v>141.01</v>
      </c>
      <c r="U18" s="43">
        <f>VLOOKUP(D18,КУБ!I:O,7,0)/10</f>
        <v>6383.8400000000038</v>
      </c>
      <c r="V18" s="43">
        <f>VLOOKUP(D18,КУБ!I:O,5,0)</f>
        <v>542017.15</v>
      </c>
      <c r="W18" s="44">
        <f>IFERROR(V18/R18,0)</f>
        <v>1.1428788460240884</v>
      </c>
    </row>
    <row r="19" spans="1:23" s="1" customFormat="1" x14ac:dyDescent="0.25">
      <c r="A19" s="6">
        <v>2022</v>
      </c>
      <c r="B19" s="6" t="s">
        <v>119</v>
      </c>
      <c r="C19" s="54" t="str">
        <f>КУБ!B15</f>
        <v>Каспийск, ул. Сулеймана Стальского, 1</v>
      </c>
      <c r="D19" s="6" t="str">
        <f>VLOOKUP(C19,КУБ!B:C,2,0)</f>
        <v>8059</v>
      </c>
      <c r="E19" s="26">
        <f>IFERROR(VLOOKUP(D19,КУБ!E:G,3,0)," ")</f>
        <v>631</v>
      </c>
      <c r="F19" s="9">
        <f>E19-J19</f>
        <v>373</v>
      </c>
      <c r="G19" s="9">
        <f>IFERROR(VLOOKUP(D19,КУБ!I:K,2,0)," ")</f>
        <v>131</v>
      </c>
      <c r="H19" s="9" t="s">
        <v>131</v>
      </c>
      <c r="I19" s="8" t="s">
        <v>131</v>
      </c>
      <c r="J19" s="7">
        <f>IFERROR(VLOOKUP(D19,КУБ!I:K,3,0)," ")</f>
        <v>258</v>
      </c>
      <c r="K19" s="8">
        <f>IFERROR((G19/F19),0)</f>
        <v>0.3512064343163539</v>
      </c>
      <c r="L19" s="8">
        <f>J19/E19</f>
        <v>0.40887480190174325</v>
      </c>
      <c r="M19" s="18">
        <f>IFERROR((F19/G19),0)</f>
        <v>2.8473282442748094</v>
      </c>
      <c r="N19" s="6">
        <f>IFERROR(RANK(G19,$G$11:$G$63)," ")</f>
        <v>11</v>
      </c>
      <c r="O19" s="6">
        <f>IFERROR(RANK(K19,$K$11:$K$63)," ")</f>
        <v>9</v>
      </c>
      <c r="P19" s="6">
        <f>SUM(N19:O19)</f>
        <v>20</v>
      </c>
      <c r="Q19" s="19">
        <f>G19/(F19/100)</f>
        <v>35.120643431635386</v>
      </c>
      <c r="R19" s="43">
        <f>IFERROR(VLOOKUP(D19,КУБ!E:G,2,0)," ")</f>
        <v>204292</v>
      </c>
      <c r="S19" s="43">
        <f>VLOOKUP(D19,КУБ!I:O,4,0)</f>
        <v>185216.5</v>
      </c>
      <c r="T19" s="43">
        <f>VLOOKUP(D19,КУБ!I:O,6,0)</f>
        <v>63.019999999999996</v>
      </c>
      <c r="U19" s="43">
        <f>VLOOKUP(D19,КУБ!I:O,7,0)/10</f>
        <v>2887</v>
      </c>
      <c r="V19" s="43">
        <f>VLOOKUP(D19,КУБ!I:O,5,0)</f>
        <v>182266.47999999998</v>
      </c>
      <c r="W19" s="44">
        <f>IFERROR(V19/R19,0)</f>
        <v>0.8921860865819512</v>
      </c>
    </row>
    <row r="20" spans="1:23" s="1" customFormat="1" x14ac:dyDescent="0.25">
      <c r="A20" s="6">
        <v>2022</v>
      </c>
      <c r="B20" s="6" t="s">
        <v>119</v>
      </c>
      <c r="C20" s="54" t="str">
        <f>КУБ!B14</f>
        <v>Каспийск, ул. Ленина,54</v>
      </c>
      <c r="D20" s="6" t="str">
        <f>VLOOKUP(C20,КУБ!B:C,2,0)</f>
        <v>8079</v>
      </c>
      <c r="E20" s="26">
        <f>IFERROR(VLOOKUP(D20,КУБ!E:G,3,0)," ")</f>
        <v>732</v>
      </c>
      <c r="F20" s="9">
        <f>E20-J20</f>
        <v>394</v>
      </c>
      <c r="G20" s="9">
        <f>IFERROR(VLOOKUP(D20,КУБ!I:K,2,0)," ")</f>
        <v>135</v>
      </c>
      <c r="H20" s="9" t="s">
        <v>131</v>
      </c>
      <c r="I20" s="8" t="s">
        <v>131</v>
      </c>
      <c r="J20" s="7">
        <f>IFERROR(VLOOKUP(D20,КУБ!I:K,3,0)," ")</f>
        <v>338</v>
      </c>
      <c r="K20" s="8">
        <f>IFERROR((G20/F20),0)</f>
        <v>0.34263959390862941</v>
      </c>
      <c r="L20" s="8">
        <f>J20/E20</f>
        <v>0.46174863387978143</v>
      </c>
      <c r="M20" s="18">
        <f>IFERROR((F20/G20),0)</f>
        <v>2.9185185185185185</v>
      </c>
      <c r="N20" s="6">
        <f>IFERROR(RANK(G20,$G$11:$G$63)," ")</f>
        <v>10</v>
      </c>
      <c r="O20" s="6">
        <f>IFERROR(RANK(K20,$K$11:$K$63)," ")</f>
        <v>10</v>
      </c>
      <c r="P20" s="6">
        <f>SUM(N20:O20)</f>
        <v>20</v>
      </c>
      <c r="Q20" s="19">
        <f>G20/(F20/100)</f>
        <v>34.263959390862944</v>
      </c>
      <c r="R20" s="43">
        <f>IFERROR(VLOOKUP(D20,КУБ!E:G,2,0)," ")</f>
        <v>258268</v>
      </c>
      <c r="S20" s="43">
        <f>VLOOKUP(D20,КУБ!I:O,4,0)</f>
        <v>224979</v>
      </c>
      <c r="T20" s="43">
        <f>VLOOKUP(D20,КУБ!I:O,6,0)</f>
        <v>78.02</v>
      </c>
      <c r="U20" s="43">
        <f>VLOOKUP(D20,КУБ!I:O,7,0)/10</f>
        <v>3908.3999999999992</v>
      </c>
      <c r="V20" s="43">
        <f>VLOOKUP(D20,КУБ!I:O,5,0)</f>
        <v>220992.58</v>
      </c>
      <c r="W20" s="44">
        <f>IFERROR(V20/R20,0)</f>
        <v>0.85567155048244459</v>
      </c>
    </row>
    <row r="21" spans="1:23" s="1" customFormat="1" x14ac:dyDescent="0.25">
      <c r="A21" s="6">
        <v>2022</v>
      </c>
      <c r="B21" s="6" t="s">
        <v>119</v>
      </c>
      <c r="C21" s="54" t="str">
        <f>КУБ!B55</f>
        <v>Махачкала, ул. Юсупа Акаева, 23</v>
      </c>
      <c r="D21" s="6" t="str">
        <f>VLOOKUP(C21,КУБ!B:C,2,0)</f>
        <v>8075</v>
      </c>
      <c r="E21" s="26">
        <f>IFERROR(VLOOKUP(D21,КУБ!E:G,3,0)," ")</f>
        <v>291</v>
      </c>
      <c r="F21" s="9">
        <f>E21-J21</f>
        <v>151</v>
      </c>
      <c r="G21" s="9">
        <f>IFERROR(VLOOKUP(D21,КУБ!I:K,2,0)," ")</f>
        <v>46</v>
      </c>
      <c r="H21" s="9" t="s">
        <v>131</v>
      </c>
      <c r="I21" s="8" t="s">
        <v>131</v>
      </c>
      <c r="J21" s="7">
        <f>IFERROR(VLOOKUP(D21,КУБ!I:K,3,0)," ")</f>
        <v>140</v>
      </c>
      <c r="K21" s="8">
        <f>IFERROR((G21/F21),0)</f>
        <v>0.30463576158940397</v>
      </c>
      <c r="L21" s="8">
        <f>J21/E21</f>
        <v>0.48109965635738833</v>
      </c>
      <c r="M21" s="18">
        <f>IFERROR((F21/G21),0)</f>
        <v>3.2826086956521738</v>
      </c>
      <c r="N21" s="6">
        <f>IFERROR(RANK(G21,$G$11:$G$63)," ")</f>
        <v>31</v>
      </c>
      <c r="O21" s="6">
        <f>IFERROR(RANK(K21,$K$11:$K$63)," ")</f>
        <v>11</v>
      </c>
      <c r="P21" s="6">
        <f>SUM(N21:O21)</f>
        <v>42</v>
      </c>
      <c r="Q21" s="19">
        <f>G21/(F21/100)</f>
        <v>30.463576158940398</v>
      </c>
      <c r="R21" s="43">
        <f>IFERROR(VLOOKUP(D21,КУБ!E:G,2,0)," ")</f>
        <v>83454</v>
      </c>
      <c r="S21" s="43">
        <f>VLOOKUP(D21,КУБ!I:O,4,0)</f>
        <v>83195</v>
      </c>
      <c r="T21" s="43">
        <f>VLOOKUP(D21,КУБ!I:O,6,0)</f>
        <v>45</v>
      </c>
      <c r="U21" s="43">
        <f>VLOOKUP(D21,КУБ!I:O,7,0)/10</f>
        <v>795.43000000000006</v>
      </c>
      <c r="V21" s="43">
        <f>VLOOKUP(D21,КУБ!I:O,5,0)</f>
        <v>82354.570000000007</v>
      </c>
      <c r="W21" s="44">
        <f>IFERROR(V21/R21,0)</f>
        <v>0.98682591607352566</v>
      </c>
    </row>
    <row r="22" spans="1:23" s="1" customFormat="1" x14ac:dyDescent="0.25">
      <c r="A22" s="6">
        <v>2022</v>
      </c>
      <c r="B22" s="6" t="s">
        <v>119</v>
      </c>
      <c r="C22" s="54" t="str">
        <f>КУБ!B13</f>
        <v>Каспийск, ул. Ленина,13</v>
      </c>
      <c r="D22" s="6" t="str">
        <f>VLOOKUP(C22,КУБ!B:C,2,0)</f>
        <v>8001</v>
      </c>
      <c r="E22" s="26">
        <f>IFERROR(VLOOKUP(D22,КУБ!E:G,3,0)," ")</f>
        <v>431</v>
      </c>
      <c r="F22" s="9">
        <f>E22-J22</f>
        <v>247</v>
      </c>
      <c r="G22" s="9">
        <f>IFERROR(VLOOKUP(D22,КУБ!I:K,2,0)," ")</f>
        <v>74</v>
      </c>
      <c r="H22" s="9" t="s">
        <v>131</v>
      </c>
      <c r="I22" s="8" t="s">
        <v>131</v>
      </c>
      <c r="J22" s="7">
        <f>IFERROR(VLOOKUP(D22,КУБ!I:K,3,0)," ")</f>
        <v>184</v>
      </c>
      <c r="K22" s="8">
        <f>IFERROR((G22/F22),0)</f>
        <v>0.29959514170040485</v>
      </c>
      <c r="L22" s="8">
        <f>J22/E22</f>
        <v>0.42691415313225056</v>
      </c>
      <c r="M22" s="18">
        <f>IFERROR((F22/G22),0)</f>
        <v>3.3378378378378377</v>
      </c>
      <c r="N22" s="6">
        <f>IFERROR(RANK(G22,$G$11:$G$63)," ")</f>
        <v>24</v>
      </c>
      <c r="O22" s="6">
        <f>IFERROR(RANK(K22,$K$11:$K$63)," ")</f>
        <v>12</v>
      </c>
      <c r="P22" s="6">
        <f>SUM(N22:O22)</f>
        <v>36</v>
      </c>
      <c r="Q22" s="19">
        <f>G22/(F22/100)</f>
        <v>29.959514170040485</v>
      </c>
      <c r="R22" s="43">
        <f>IFERROR(VLOOKUP(D22,КУБ!E:G,2,0)," ")</f>
        <v>223279</v>
      </c>
      <c r="S22" s="43">
        <f>VLOOKUP(D22,КУБ!I:O,4,0)</f>
        <v>124796.5</v>
      </c>
      <c r="T22" s="43">
        <f>VLOOKUP(D22,КУБ!I:O,6,0)</f>
        <v>4</v>
      </c>
      <c r="U22" s="43">
        <f>VLOOKUP(D22,КУБ!I:O,7,0)/10</f>
        <v>1844.2600000000002</v>
      </c>
      <c r="V22" s="43">
        <f>VLOOKUP(D22,КУБ!I:O,5,0)</f>
        <v>122948.24</v>
      </c>
      <c r="W22" s="44">
        <f>IFERROR(V22/R22,0)</f>
        <v>0.55064847119523108</v>
      </c>
    </row>
    <row r="23" spans="1:23" s="1" customFormat="1" x14ac:dyDescent="0.25">
      <c r="A23" s="6">
        <v>2022</v>
      </c>
      <c r="B23" s="6" t="s">
        <v>119</v>
      </c>
      <c r="C23" s="54" t="str">
        <f>КУБ!B48</f>
        <v>Махачкала, ул. Магомедтагирова,176Г (Магомедтагирова 176Е)</v>
      </c>
      <c r="D23" s="6" t="str">
        <f>VLOOKUP(C23,КУБ!B:C,2,0)</f>
        <v>8029</v>
      </c>
      <c r="E23" s="26">
        <f>IFERROR(VLOOKUP(D23,КУБ!E:G,3,0)," ")</f>
        <v>323</v>
      </c>
      <c r="F23" s="9">
        <f>E23-J23</f>
        <v>143</v>
      </c>
      <c r="G23" s="9">
        <f>IFERROR(VLOOKUP(D23,КУБ!I:K,2,0)," ")</f>
        <v>35</v>
      </c>
      <c r="H23" s="9" t="s">
        <v>131</v>
      </c>
      <c r="I23" s="8" t="s">
        <v>131</v>
      </c>
      <c r="J23" s="7">
        <f>IFERROR(VLOOKUP(D23,КУБ!I:K,3,0)," ")</f>
        <v>180</v>
      </c>
      <c r="K23" s="8">
        <f>IFERROR((G23/F23),0)</f>
        <v>0.24475524475524477</v>
      </c>
      <c r="L23" s="8">
        <f>J23/E23</f>
        <v>0.55727554179566563</v>
      </c>
      <c r="M23" s="18">
        <f>IFERROR((F23/G23),0)</f>
        <v>4.0857142857142854</v>
      </c>
      <c r="N23" s="6">
        <f>IFERROR(RANK(G23,$G$11:$G$63)," ")</f>
        <v>35</v>
      </c>
      <c r="O23" s="6">
        <f>IFERROR(RANK(K23,$K$11:$K$63)," ")</f>
        <v>13</v>
      </c>
      <c r="P23" s="6">
        <f>SUM(N23:O23)</f>
        <v>48</v>
      </c>
      <c r="Q23" s="19">
        <f>G23/(F23/100)</f>
        <v>24.475524475524477</v>
      </c>
      <c r="R23" s="43">
        <f>IFERROR(VLOOKUP(D23,КУБ!E:G,2,0)," ")</f>
        <v>87720</v>
      </c>
      <c r="S23" s="43">
        <f>VLOOKUP(D23,КУБ!I:O,4,0)</f>
        <v>141446</v>
      </c>
      <c r="T23" s="43">
        <f>VLOOKUP(D23,КУБ!I:O,6,0)</f>
        <v>22</v>
      </c>
      <c r="U23" s="43">
        <f>VLOOKUP(D23,КУБ!I:O,7,0)/10</f>
        <v>1762.7899999999997</v>
      </c>
      <c r="V23" s="43">
        <f>VLOOKUP(D23,КУБ!I:O,5,0)</f>
        <v>139661.21</v>
      </c>
      <c r="W23" s="44">
        <f>IFERROR(V23/R23,0)</f>
        <v>1.592125056999544</v>
      </c>
    </row>
    <row r="24" spans="1:23" s="1" customFormat="1" x14ac:dyDescent="0.25">
      <c r="A24" s="6">
        <v>2022</v>
      </c>
      <c r="B24" s="6" t="s">
        <v>119</v>
      </c>
      <c r="C24" s="54" t="str">
        <f>КУБ!B31</f>
        <v>Махачкала, пр. Петра I ,135 (ДФ+)</v>
      </c>
      <c r="D24" s="6" t="str">
        <f>VLOOKUP(C24,КУБ!B:C,2,0)</f>
        <v>8084</v>
      </c>
      <c r="E24" s="26">
        <f>IFERROR(VLOOKUP(D24,КУБ!E:G,3,0)," ")</f>
        <v>2071</v>
      </c>
      <c r="F24" s="9">
        <f>E24-J24</f>
        <v>1371</v>
      </c>
      <c r="G24" s="9">
        <f>IFERROR(VLOOKUP(D24,КУБ!I:K,2,0)," ")</f>
        <v>334</v>
      </c>
      <c r="H24" s="9" t="s">
        <v>131</v>
      </c>
      <c r="I24" s="8" t="s">
        <v>131</v>
      </c>
      <c r="J24" s="7">
        <f>IFERROR(VLOOKUP(D24,КУБ!I:K,3,0)," ")</f>
        <v>700</v>
      </c>
      <c r="K24" s="8">
        <f>IFERROR((G24/F24),0)</f>
        <v>0.24361779722830051</v>
      </c>
      <c r="L24" s="8">
        <f>J24/E24</f>
        <v>0.33800096571704491</v>
      </c>
      <c r="M24" s="18">
        <f>IFERROR((F24/G24),0)</f>
        <v>4.1047904191616764</v>
      </c>
      <c r="N24" s="6">
        <f>IFERROR(RANK(G24,$G$11:$G$63)," ")</f>
        <v>2</v>
      </c>
      <c r="O24" s="6">
        <f>IFERROR(RANK(K24,$K$11:$K$63)," ")</f>
        <v>14</v>
      </c>
      <c r="P24" s="6">
        <f>SUM(N24:O24)</f>
        <v>16</v>
      </c>
      <c r="Q24" s="19">
        <f>G24/(F24/100)</f>
        <v>24.36177972283005</v>
      </c>
      <c r="R24" s="43">
        <f>IFERROR(VLOOKUP(D24,КУБ!E:G,2,0)," ")</f>
        <v>1121180</v>
      </c>
      <c r="S24" s="43">
        <f>VLOOKUP(D24,КУБ!I:O,4,0)</f>
        <v>973721.2</v>
      </c>
      <c r="T24" s="43">
        <f>VLOOKUP(D24,КУБ!I:O,6,0)</f>
        <v>6.9999999999999993E-2</v>
      </c>
      <c r="U24" s="43">
        <f>VLOOKUP(D24,КУБ!I:O,7,0)/10</f>
        <v>8543.5</v>
      </c>
      <c r="V24" s="43">
        <f>VLOOKUP(D24,КУБ!I:O,5,0)</f>
        <v>965177.62999999989</v>
      </c>
      <c r="W24" s="44">
        <f>IFERROR(V24/R24,0)</f>
        <v>0.86085876487272328</v>
      </c>
    </row>
    <row r="25" spans="1:23" s="1" customFormat="1" x14ac:dyDescent="0.25">
      <c r="A25" s="6">
        <v>2022</v>
      </c>
      <c r="B25" s="6" t="s">
        <v>119</v>
      </c>
      <c r="C25" s="54" t="str">
        <f>КУБ!B9</f>
        <v>Избербаш, ул. Маяковского, 114а</v>
      </c>
      <c r="D25" s="6" t="str">
        <f>VLOOKUP(C25,КУБ!B:C,2,0)</f>
        <v>8018</v>
      </c>
      <c r="E25" s="26">
        <f>IFERROR(VLOOKUP(D25,КУБ!E:G,3,0)," ")</f>
        <v>471</v>
      </c>
      <c r="F25" s="9">
        <f>E25-J25</f>
        <v>274</v>
      </c>
      <c r="G25" s="9">
        <f>IFERROR(VLOOKUP(D25,КУБ!I:K,2,0)," ")</f>
        <v>65</v>
      </c>
      <c r="H25" s="9" t="s">
        <v>131</v>
      </c>
      <c r="I25" s="8" t="s">
        <v>131</v>
      </c>
      <c r="J25" s="7">
        <f>IFERROR(VLOOKUP(D25,КУБ!I:K,3,0)," ")</f>
        <v>197</v>
      </c>
      <c r="K25" s="8">
        <f>IFERROR((G25/F25),0)</f>
        <v>0.23722627737226276</v>
      </c>
      <c r="L25" s="8">
        <f>J25/E25</f>
        <v>0.41825902335456477</v>
      </c>
      <c r="M25" s="18">
        <f>IFERROR((F25/G25),0)</f>
        <v>4.2153846153846155</v>
      </c>
      <c r="N25" s="6">
        <f>IFERROR(RANK(G25,$G$11:$G$63)," ")</f>
        <v>26</v>
      </c>
      <c r="O25" s="6">
        <f>IFERROR(RANK(K25,$K$11:$K$63)," ")</f>
        <v>15</v>
      </c>
      <c r="P25" s="6">
        <f>SUM(N25:O25)</f>
        <v>41</v>
      </c>
      <c r="Q25" s="19">
        <f>G25/(F25/100)</f>
        <v>23.722627737226276</v>
      </c>
      <c r="R25" s="43">
        <f>IFERROR(VLOOKUP(D25,КУБ!E:G,2,0)," ")</f>
        <v>166205</v>
      </c>
      <c r="S25" s="43">
        <f>VLOOKUP(D25,КУБ!I:O,4,0)</f>
        <v>153129</v>
      </c>
      <c r="T25" s="43">
        <f>VLOOKUP(D25,КУБ!I:O,6,0)</f>
        <v>0</v>
      </c>
      <c r="U25" s="43">
        <f>VLOOKUP(D25,КУБ!I:O,7,0)/10</f>
        <v>1770.94</v>
      </c>
      <c r="V25" s="43">
        <f>VLOOKUP(D25,КУБ!I:O,5,0)</f>
        <v>151358.06</v>
      </c>
      <c r="W25" s="44">
        <f>IFERROR(V25/R25,0)</f>
        <v>0.91067091844409009</v>
      </c>
    </row>
    <row r="26" spans="1:23" s="1" customFormat="1" x14ac:dyDescent="0.25">
      <c r="A26" s="6">
        <v>2022</v>
      </c>
      <c r="B26" s="6" t="s">
        <v>119</v>
      </c>
      <c r="C26" s="13" t="str">
        <f>КУБ!B43</f>
        <v>Махачкала, ул. Каммаева, 89 А (Каммаева, 15Б/1)</v>
      </c>
      <c r="D26" s="6" t="str">
        <f>VLOOKUP(C26,КУБ!B:C,2,0)</f>
        <v>8010</v>
      </c>
      <c r="E26" s="26">
        <f>IFERROR(VLOOKUP(D26,КУБ!E:G,3,0)," ")</f>
        <v>827</v>
      </c>
      <c r="F26" s="9">
        <f>E26-J26</f>
        <v>598</v>
      </c>
      <c r="G26" s="9">
        <f>IFERROR(VLOOKUP(D26,КУБ!I:K,2,0)," ")</f>
        <v>109</v>
      </c>
      <c r="H26" s="9" t="s">
        <v>131</v>
      </c>
      <c r="I26" s="8" t="s">
        <v>131</v>
      </c>
      <c r="J26" s="7">
        <f>IFERROR(VLOOKUP(D26,КУБ!I:K,3,0)," ")</f>
        <v>229</v>
      </c>
      <c r="K26" s="8">
        <f>IFERROR((G26/F26),0)</f>
        <v>0.18227424749163879</v>
      </c>
      <c r="L26" s="8">
        <f>J26/E26</f>
        <v>0.27690447400241835</v>
      </c>
      <c r="M26" s="18">
        <f>IFERROR((F26/G26),0)</f>
        <v>5.4862385321100922</v>
      </c>
      <c r="N26" s="6">
        <f>IFERROR(RANK(G26,$G$11:$G$63)," ")</f>
        <v>16</v>
      </c>
      <c r="O26" s="6">
        <f>IFERROR(RANK(K26,$K$11:$K$63)," ")</f>
        <v>16</v>
      </c>
      <c r="P26" s="6">
        <f>SUM(N26:O26)</f>
        <v>32</v>
      </c>
      <c r="Q26" s="19">
        <f>G26/(F26/100)</f>
        <v>18.227424749163877</v>
      </c>
      <c r="R26" s="43">
        <f>IFERROR(VLOOKUP(D26,КУБ!E:G,2,0)," ")</f>
        <v>289681</v>
      </c>
      <c r="S26" s="43">
        <f>VLOOKUP(D26,КУБ!I:O,4,0)</f>
        <v>153526</v>
      </c>
      <c r="T26" s="43">
        <f>VLOOKUP(D26,КУБ!I:O,6,0)</f>
        <v>53.02</v>
      </c>
      <c r="U26" s="43">
        <f>VLOOKUP(D26,КУБ!I:O,7,0)/10</f>
        <v>1819.7199999999993</v>
      </c>
      <c r="V26" s="43">
        <f>VLOOKUP(D26,КУБ!I:O,5,0)</f>
        <v>151653.25999999998</v>
      </c>
      <c r="W26" s="44">
        <f>IFERROR(V26/R26,0)</f>
        <v>0.52351814582247358</v>
      </c>
    </row>
    <row r="27" spans="1:23" s="1" customFormat="1" x14ac:dyDescent="0.25">
      <c r="A27" s="6">
        <v>2022</v>
      </c>
      <c r="B27" s="6" t="s">
        <v>119</v>
      </c>
      <c r="C27" s="13" t="str">
        <f>КУБ!B10</f>
        <v>Каспийск, ул. Абдулманапова, 6Б</v>
      </c>
      <c r="D27" s="6" t="str">
        <f>VLOOKUP(C27,КУБ!B:C,2,0)</f>
        <v>8020</v>
      </c>
      <c r="E27" s="26">
        <f>IFERROR(VLOOKUP(D27,КУБ!E:G,3,0)," ")</f>
        <v>803</v>
      </c>
      <c r="F27" s="9">
        <f>E27-J27</f>
        <v>557</v>
      </c>
      <c r="G27" s="9">
        <f>IFERROR(VLOOKUP(D27,КУБ!I:K,2,0)," ")</f>
        <v>101</v>
      </c>
      <c r="H27" s="9" t="s">
        <v>131</v>
      </c>
      <c r="I27" s="8" t="s">
        <v>131</v>
      </c>
      <c r="J27" s="7">
        <f>IFERROR(VLOOKUP(D27,КУБ!I:K,3,0)," ")</f>
        <v>246</v>
      </c>
      <c r="K27" s="8">
        <f>IFERROR((G27/F27),0)</f>
        <v>0.18132854578096949</v>
      </c>
      <c r="L27" s="8">
        <f>J27/E27</f>
        <v>0.30635118306351183</v>
      </c>
      <c r="M27" s="18">
        <f>IFERROR((F27/G27),0)</f>
        <v>5.5148514851485144</v>
      </c>
      <c r="N27" s="6">
        <f>IFERROR(RANK(G27,$G$11:$G$63)," ")</f>
        <v>20</v>
      </c>
      <c r="O27" s="6">
        <f>IFERROR(RANK(K27,$K$11:$K$63)," ")</f>
        <v>17</v>
      </c>
      <c r="P27" s="6">
        <f>SUM(N27:O27)</f>
        <v>37</v>
      </c>
      <c r="Q27" s="19">
        <f>G27/(F27/100)</f>
        <v>18.132854578096946</v>
      </c>
      <c r="R27" s="43">
        <f>IFERROR(VLOOKUP(D27,КУБ!E:G,2,0)," ")</f>
        <v>332622</v>
      </c>
      <c r="S27" s="43">
        <f>VLOOKUP(D27,КУБ!I:O,4,0)</f>
        <v>240343.5</v>
      </c>
      <c r="T27" s="43">
        <f>VLOOKUP(D27,КУБ!I:O,6,0)</f>
        <v>89.02</v>
      </c>
      <c r="U27" s="43">
        <f>VLOOKUP(D27,КУБ!I:O,7,0)/10</f>
        <v>2394.4799999999996</v>
      </c>
      <c r="V27" s="43">
        <f>VLOOKUP(D27,КУБ!I:O,5,0)</f>
        <v>237859.99999999997</v>
      </c>
      <c r="W27" s="44">
        <f>IFERROR(V27/R27,0)</f>
        <v>0.71510603628142444</v>
      </c>
    </row>
    <row r="28" spans="1:23" s="1" customFormat="1" x14ac:dyDescent="0.25">
      <c r="A28" s="6">
        <v>2022</v>
      </c>
      <c r="B28" s="6" t="s">
        <v>119</v>
      </c>
      <c r="C28" s="13" t="str">
        <f>КУБ!B39</f>
        <v>Махачкала, ул. Габитова, 2 (пр. Насрутдинова, 49 А)</v>
      </c>
      <c r="D28" s="6" t="str">
        <f>VLOOKUP(C28,КУБ!B:C,2,0)</f>
        <v>8006</v>
      </c>
      <c r="E28" s="26">
        <f>IFERROR(VLOOKUP(D28,КУБ!E:G,3,0)," ")</f>
        <v>1242</v>
      </c>
      <c r="F28" s="9">
        <f>E28-J28</f>
        <v>885</v>
      </c>
      <c r="G28" s="9">
        <f>IFERROR(VLOOKUP(D28,КУБ!I:K,2,0)," ")</f>
        <v>145</v>
      </c>
      <c r="H28" s="9" t="s">
        <v>131</v>
      </c>
      <c r="I28" s="8" t="s">
        <v>131</v>
      </c>
      <c r="J28" s="7">
        <f>IFERROR(VLOOKUP(D28,КУБ!I:K,3,0)," ")</f>
        <v>357</v>
      </c>
      <c r="K28" s="8">
        <f>IFERROR((G28/F28),0)</f>
        <v>0.16384180790960451</v>
      </c>
      <c r="L28" s="8">
        <f>J28/E28</f>
        <v>0.28743961352657005</v>
      </c>
      <c r="M28" s="18">
        <f>IFERROR((F28/G28),0)</f>
        <v>6.1034482758620694</v>
      </c>
      <c r="N28" s="6">
        <f>IFERROR(RANK(G28,$G$11:$G$63)," ")</f>
        <v>9</v>
      </c>
      <c r="O28" s="6">
        <f>IFERROR(RANK(K28,$K$11:$K$63)," ")</f>
        <v>18</v>
      </c>
      <c r="P28" s="6">
        <f>SUM(N28:O28)</f>
        <v>27</v>
      </c>
      <c r="Q28" s="19">
        <f>G28/(F28/100)</f>
        <v>16.384180790960453</v>
      </c>
      <c r="R28" s="43">
        <f>IFERROR(VLOOKUP(D28,КУБ!E:G,2,0)," ")</f>
        <v>473451</v>
      </c>
      <c r="S28" s="43">
        <f>VLOOKUP(D28,КУБ!I:O,4,0)</f>
        <v>289528.5</v>
      </c>
      <c r="T28" s="43">
        <f>VLOOKUP(D28,КУБ!I:O,6,0)</f>
        <v>0.02</v>
      </c>
      <c r="U28" s="43">
        <f>VLOOKUP(D28,КУБ!I:O,7,0)/10</f>
        <v>5041.6600000000017</v>
      </c>
      <c r="V28" s="43">
        <f>VLOOKUP(D28,КУБ!I:O,5,0)</f>
        <v>284486.82</v>
      </c>
      <c r="W28" s="44">
        <f>IFERROR(V28/R28,0)</f>
        <v>0.60087911948649386</v>
      </c>
    </row>
    <row r="29" spans="1:23" x14ac:dyDescent="0.25">
      <c r="A29" s="6">
        <v>2022</v>
      </c>
      <c r="B29" s="6" t="s">
        <v>119</v>
      </c>
      <c r="C29" s="54" t="str">
        <f>КУБ!B20</f>
        <v>Махачкала, пр. Амет-Хана Султана, 6/4 (Ахмет-хана Султана, 4/7)</v>
      </c>
      <c r="D29" s="6" t="str">
        <f>VLOOKUP(C29,КУБ!B:C,2,0)</f>
        <v>8036</v>
      </c>
      <c r="E29" s="26">
        <f>IFERROR(VLOOKUP(D29,КУБ!E:G,3,0)," ")</f>
        <v>983</v>
      </c>
      <c r="F29" s="9">
        <f>E29-J29</f>
        <v>647</v>
      </c>
      <c r="G29" s="9">
        <f>IFERROR(VLOOKUP(D29,КУБ!I:K,2,0)," ")</f>
        <v>106</v>
      </c>
      <c r="H29" s="9" t="s">
        <v>131</v>
      </c>
      <c r="I29" s="8" t="s">
        <v>131</v>
      </c>
      <c r="J29" s="7">
        <f>IFERROR(VLOOKUP(D29,КУБ!I:K,3,0)," ")</f>
        <v>336</v>
      </c>
      <c r="K29" s="8">
        <f>IFERROR((G29/F29),0)</f>
        <v>0.16383307573415765</v>
      </c>
      <c r="L29" s="8">
        <f>J29/E29</f>
        <v>0.34181078331637843</v>
      </c>
      <c r="M29" s="18">
        <f>IFERROR((F29/G29),0)</f>
        <v>6.1037735849056602</v>
      </c>
      <c r="N29" s="6">
        <f>IFERROR(RANK(G29,$G$11:$G$63)," ")</f>
        <v>19</v>
      </c>
      <c r="O29" s="6">
        <f>IFERROR(RANK(K29,$K$11:$K$63)," ")</f>
        <v>19</v>
      </c>
      <c r="P29" s="6">
        <f>SUM(N29:O29)</f>
        <v>38</v>
      </c>
      <c r="Q29" s="19">
        <f>G29/(F29/100)</f>
        <v>16.383307573415767</v>
      </c>
      <c r="R29" s="43">
        <f>IFERROR(VLOOKUP(D29,КУБ!E:G,2,0)," ")</f>
        <v>415819</v>
      </c>
      <c r="S29" s="43">
        <f>VLOOKUP(D29,КУБ!I:O,4,0)</f>
        <v>417008</v>
      </c>
      <c r="T29" s="43">
        <f>VLOOKUP(D29,КУБ!I:O,6,0)</f>
        <v>292.02</v>
      </c>
      <c r="U29" s="43">
        <f>VLOOKUP(D29,КУБ!I:O,7,0)/10</f>
        <v>3360.37</v>
      </c>
      <c r="V29" s="43">
        <f>VLOOKUP(D29,КУБ!I:O,5,0)</f>
        <v>413355.61</v>
      </c>
      <c r="W29" s="44">
        <f>IFERROR(V29/R29,0)</f>
        <v>0.99407581183159011</v>
      </c>
    </row>
    <row r="30" spans="1:23" x14ac:dyDescent="0.25">
      <c r="A30" s="6">
        <v>2022</v>
      </c>
      <c r="B30" s="6" t="s">
        <v>119</v>
      </c>
      <c r="C30" s="13" t="str">
        <f>КУБ!B54</f>
        <v>Махачкала, ул. Ш. Алиева, 7 (Шамсулы Алиева, 33 А)</v>
      </c>
      <c r="D30" s="6" t="str">
        <f>VLOOKUP(C30,КУБ!B:C,2,0)</f>
        <v>8016</v>
      </c>
      <c r="E30" s="26">
        <f>IFERROR(VLOOKUP(D30,КУБ!E:G,3,0)," ")</f>
        <v>860</v>
      </c>
      <c r="F30" s="9">
        <f>E30-J30</f>
        <v>596</v>
      </c>
      <c r="G30" s="9">
        <f>IFERROR(VLOOKUP(D30,КУБ!I:K,2,0)," ")</f>
        <v>91</v>
      </c>
      <c r="H30" s="9" t="s">
        <v>131</v>
      </c>
      <c r="I30" s="8" t="s">
        <v>131</v>
      </c>
      <c r="J30" s="7">
        <f>IFERROR(VLOOKUP(D30,КУБ!I:K,3,0)," ")</f>
        <v>264</v>
      </c>
      <c r="K30" s="8">
        <f>IFERROR((G30/F30),0)</f>
        <v>0.15268456375838926</v>
      </c>
      <c r="L30" s="8">
        <f>J30/E30</f>
        <v>0.30697674418604654</v>
      </c>
      <c r="M30" s="18">
        <f>IFERROR((F30/G30),0)</f>
        <v>6.5494505494505493</v>
      </c>
      <c r="N30" s="6">
        <f>IFERROR(RANK(G30,$G$11:$G$63)," ")</f>
        <v>23</v>
      </c>
      <c r="O30" s="6">
        <f>IFERROR(RANK(K30,$K$11:$K$63)," ")</f>
        <v>20</v>
      </c>
      <c r="P30" s="6">
        <f>SUM(N30:O30)</f>
        <v>43</v>
      </c>
      <c r="Q30" s="19">
        <f>G30/(F30/100)</f>
        <v>15.268456375838927</v>
      </c>
      <c r="R30" s="43">
        <f>IFERROR(VLOOKUP(D30,КУБ!E:G,2,0)," ")</f>
        <v>263337</v>
      </c>
      <c r="S30" s="43">
        <f>VLOOKUP(D30,КУБ!I:O,4,0)</f>
        <v>184088.5</v>
      </c>
      <c r="T30" s="43">
        <f>VLOOKUP(D30,КУБ!I:O,6,0)</f>
        <v>169.01</v>
      </c>
      <c r="U30" s="43">
        <f>VLOOKUP(D30,КУБ!I:O,7,0)/10</f>
        <v>3215.170000000001</v>
      </c>
      <c r="V30" s="43">
        <f>VLOOKUP(D30,КУБ!I:O,5,0)</f>
        <v>180704.31999999998</v>
      </c>
      <c r="W30" s="44">
        <f>IFERROR(V30/R30,0)</f>
        <v>0.68620938189468239</v>
      </c>
    </row>
    <row r="31" spans="1:23" x14ac:dyDescent="0.25">
      <c r="A31" s="6">
        <v>2022</v>
      </c>
      <c r="B31" s="6" t="s">
        <v>119</v>
      </c>
      <c r="C31" s="13" t="str">
        <f>КУБ!B36</f>
        <v>Махачкала, ул. Азиза Алиева, 9А</v>
      </c>
      <c r="D31" s="6" t="str">
        <f>VLOOKUP(C31,КУБ!B:C,2,0)</f>
        <v>8064</v>
      </c>
      <c r="E31" s="26">
        <f>IFERROR(VLOOKUP(D31,КУБ!E:G,3,0)," ")</f>
        <v>456</v>
      </c>
      <c r="F31" s="9">
        <f>E31-J31</f>
        <v>330</v>
      </c>
      <c r="G31" s="9">
        <f>IFERROR(VLOOKUP(D31,КУБ!I:K,2,0)," ")</f>
        <v>48</v>
      </c>
      <c r="H31" s="9" t="s">
        <v>131</v>
      </c>
      <c r="I31" s="8" t="s">
        <v>131</v>
      </c>
      <c r="J31" s="7">
        <f>IFERROR(VLOOKUP(D31,КУБ!I:K,3,0)," ")</f>
        <v>126</v>
      </c>
      <c r="K31" s="8">
        <f>IFERROR((G31/F31),0)</f>
        <v>0.14545454545454545</v>
      </c>
      <c r="L31" s="8">
        <f>J31/E31</f>
        <v>0.27631578947368424</v>
      </c>
      <c r="M31" s="18">
        <f>IFERROR((F31/G31),0)</f>
        <v>6.875</v>
      </c>
      <c r="N31" s="6">
        <f>IFERROR(RANK(G31,$G$11:$G$63)," ")</f>
        <v>30</v>
      </c>
      <c r="O31" s="6">
        <f>IFERROR(RANK(K31,$K$11:$K$63)," ")</f>
        <v>21</v>
      </c>
      <c r="P31" s="6">
        <f>SUM(N31:O31)</f>
        <v>51</v>
      </c>
      <c r="Q31" s="19">
        <f>G31/(F31/100)</f>
        <v>14.545454545454547</v>
      </c>
      <c r="R31" s="43">
        <f>IFERROR(VLOOKUP(D31,КУБ!E:G,2,0)," ")</f>
        <v>165191</v>
      </c>
      <c r="S31" s="43">
        <f>VLOOKUP(D31,КУБ!I:O,4,0)</f>
        <v>83313</v>
      </c>
      <c r="T31" s="43">
        <f>VLOOKUP(D31,КУБ!I:O,6,0)</f>
        <v>1</v>
      </c>
      <c r="U31" s="43">
        <f>VLOOKUP(D31,КУБ!I:O,7,0)/10</f>
        <v>970.26999999999987</v>
      </c>
      <c r="V31" s="43">
        <f>VLOOKUP(D31,КУБ!I:O,5,0)</f>
        <v>82341.73</v>
      </c>
      <c r="W31" s="44">
        <f>IFERROR(V31/R31,0)</f>
        <v>0.49846377829300625</v>
      </c>
    </row>
    <row r="32" spans="1:23" x14ac:dyDescent="0.25">
      <c r="A32" s="6">
        <v>2022</v>
      </c>
      <c r="B32" s="6" t="s">
        <v>119</v>
      </c>
      <c r="C32" s="13" t="str">
        <f>КУБ!B32</f>
        <v>Махачкала, пр. Петра I ,135 (Петра 1, 59 Р)</v>
      </c>
      <c r="D32" s="6" t="str">
        <f>VLOOKUP(C32,КУБ!B:C,2,0)</f>
        <v>8005</v>
      </c>
      <c r="E32" s="26">
        <f>IFERROR(VLOOKUP(D32,КУБ!E:G,3,0)," ")</f>
        <v>2248</v>
      </c>
      <c r="F32" s="9">
        <f>E32-J32</f>
        <v>1630</v>
      </c>
      <c r="G32" s="9">
        <f>IFERROR(VLOOKUP(D32,КУБ!I:K,2,0)," ")</f>
        <v>224</v>
      </c>
      <c r="H32" s="9" t="s">
        <v>131</v>
      </c>
      <c r="I32" s="8" t="s">
        <v>131</v>
      </c>
      <c r="J32" s="7">
        <f>IFERROR(VLOOKUP(D32,КУБ!I:K,3,0)," ")</f>
        <v>618</v>
      </c>
      <c r="K32" s="8">
        <f>IFERROR((G32/F32),0)</f>
        <v>0.13742331288343559</v>
      </c>
      <c r="L32" s="8">
        <f>J32/E32</f>
        <v>0.27491103202846973</v>
      </c>
      <c r="M32" s="18">
        <f>IFERROR((F32/G32),0)</f>
        <v>7.2767857142857144</v>
      </c>
      <c r="N32" s="6">
        <f>IFERROR(RANK(G32,$G$11:$G$63)," ")</f>
        <v>5</v>
      </c>
      <c r="O32" s="6">
        <f>IFERROR(RANK(K32,$K$11:$K$63)," ")</f>
        <v>22</v>
      </c>
      <c r="P32" s="6">
        <f>SUM(N32:O32)</f>
        <v>27</v>
      </c>
      <c r="Q32" s="19">
        <f>G32/(F32/100)</f>
        <v>13.742331288343557</v>
      </c>
      <c r="R32" s="43">
        <f>IFERROR(VLOOKUP(D32,КУБ!E:G,2,0)," ")</f>
        <v>1050932</v>
      </c>
      <c r="S32" s="43">
        <f>VLOOKUP(D32,КУБ!I:O,4,0)</f>
        <v>661700</v>
      </c>
      <c r="T32" s="43">
        <f>VLOOKUP(D32,КУБ!I:O,6,0)</f>
        <v>438.01</v>
      </c>
      <c r="U32" s="43">
        <f>VLOOKUP(D32,КУБ!I:O,7,0)/10</f>
        <v>7306.3699999999972</v>
      </c>
      <c r="V32" s="43">
        <f>VLOOKUP(D32,КУБ!I:O,5,0)</f>
        <v>653955.62</v>
      </c>
      <c r="W32" s="44">
        <f>IFERROR(V32/R32,0)</f>
        <v>0.62226254410370985</v>
      </c>
    </row>
    <row r="33" spans="1:23" x14ac:dyDescent="0.25">
      <c r="A33" s="6">
        <v>2022</v>
      </c>
      <c r="B33" s="6" t="s">
        <v>119</v>
      </c>
      <c r="C33" s="13" t="str">
        <f>КУБ!B45</f>
        <v>Махачкала, ул. М.Гаджиева, 7</v>
      </c>
      <c r="D33" s="6" t="str">
        <f>VLOOKUP(C33,КУБ!B:C,2,0)</f>
        <v>8014</v>
      </c>
      <c r="E33" s="26">
        <f>IFERROR(VLOOKUP(D33,КУБ!E:G,3,0)," ")</f>
        <v>486</v>
      </c>
      <c r="F33" s="9">
        <f>E33-J33</f>
        <v>405</v>
      </c>
      <c r="G33" s="9">
        <f>IFERROR(VLOOKUP(D33,КУБ!I:K,2,0)," ")</f>
        <v>55</v>
      </c>
      <c r="H33" s="9" t="s">
        <v>131</v>
      </c>
      <c r="I33" s="8" t="s">
        <v>131</v>
      </c>
      <c r="J33" s="7">
        <f>IFERROR(VLOOKUP(D33,КУБ!I:K,3,0)," ")</f>
        <v>81</v>
      </c>
      <c r="K33" s="8">
        <f>IFERROR((G33/F33),0)</f>
        <v>0.13580246913580246</v>
      </c>
      <c r="L33" s="8">
        <f>J33/E33</f>
        <v>0.16666666666666666</v>
      </c>
      <c r="M33" s="18">
        <f>IFERROR((F33/G33),0)</f>
        <v>7.3636363636363633</v>
      </c>
      <c r="N33" s="6">
        <f>IFERROR(RANK(G33,$G$11:$G$63)," ")</f>
        <v>27</v>
      </c>
      <c r="O33" s="6">
        <f>IFERROR(RANK(K33,$K$11:$K$63)," ")</f>
        <v>23</v>
      </c>
      <c r="P33" s="6">
        <f>SUM(N33:O33)</f>
        <v>50</v>
      </c>
      <c r="Q33" s="19">
        <f>G33/(F33/100)</f>
        <v>13.580246913580247</v>
      </c>
      <c r="R33" s="43">
        <f>IFERROR(VLOOKUP(D33,КУБ!E:G,2,0)," ")</f>
        <v>127249</v>
      </c>
      <c r="S33" s="43">
        <f>VLOOKUP(D33,КУБ!I:O,4,0)</f>
        <v>50062.9</v>
      </c>
      <c r="T33" s="43">
        <f>VLOOKUP(D33,КУБ!I:O,6,0)</f>
        <v>0</v>
      </c>
      <c r="U33" s="43">
        <f>VLOOKUP(D33,КУБ!I:O,7,0)/10</f>
        <v>857.61</v>
      </c>
      <c r="V33" s="43">
        <f>VLOOKUP(D33,КУБ!I:O,5,0)</f>
        <v>49205.29</v>
      </c>
      <c r="W33" s="44">
        <f>IFERROR(V33/R33,0)</f>
        <v>0.38668508200457374</v>
      </c>
    </row>
    <row r="34" spans="1:23" x14ac:dyDescent="0.25">
      <c r="A34" s="6">
        <v>2022</v>
      </c>
      <c r="B34" s="6" t="s">
        <v>119</v>
      </c>
      <c r="C34" s="13" t="str">
        <f>КУБ!B30</f>
        <v>Махачкала, пр. Петра 1, 25 Б (Петра 1, 73А)</v>
      </c>
      <c r="D34" s="6" t="str">
        <f>VLOOKUP(C34,КУБ!B:C,2,0)</f>
        <v>8071</v>
      </c>
      <c r="E34" s="26">
        <f>IFERROR(VLOOKUP(D34,КУБ!E:G,3,0)," ")</f>
        <v>562</v>
      </c>
      <c r="F34" s="9">
        <f>E34-J34</f>
        <v>392</v>
      </c>
      <c r="G34" s="9">
        <f>IFERROR(VLOOKUP(D34,КУБ!I:K,2,0)," ")</f>
        <v>53</v>
      </c>
      <c r="H34" s="9" t="s">
        <v>131</v>
      </c>
      <c r="I34" s="8" t="s">
        <v>131</v>
      </c>
      <c r="J34" s="7">
        <f>IFERROR(VLOOKUP(D34,КУБ!I:K,3,0)," ")</f>
        <v>170</v>
      </c>
      <c r="K34" s="8">
        <f>IFERROR((G34/F34),0)</f>
        <v>0.13520408163265307</v>
      </c>
      <c r="L34" s="8">
        <f>J34/E34</f>
        <v>0.302491103202847</v>
      </c>
      <c r="M34" s="18">
        <f>IFERROR((F34/G34),0)</f>
        <v>7.3962264150943398</v>
      </c>
      <c r="N34" s="6">
        <f>IFERROR(RANK(G34,$G$11:$G$63)," ")</f>
        <v>29</v>
      </c>
      <c r="O34" s="6">
        <f>IFERROR(RANK(K34,$K$11:$K$63)," ")</f>
        <v>24</v>
      </c>
      <c r="P34" s="6">
        <f>SUM(N34:O34)</f>
        <v>53</v>
      </c>
      <c r="Q34" s="19">
        <f>G34/(F34/100)</f>
        <v>13.520408163265307</v>
      </c>
      <c r="R34" s="43">
        <f>IFERROR(VLOOKUP(D34,КУБ!E:G,2,0)," ")</f>
        <v>188726</v>
      </c>
      <c r="S34" s="43">
        <f>VLOOKUP(D34,КУБ!I:O,4,0)</f>
        <v>110640.5</v>
      </c>
      <c r="T34" s="43">
        <f>VLOOKUP(D34,КУБ!I:O,6,0)</f>
        <v>2</v>
      </c>
      <c r="U34" s="43">
        <f>VLOOKUP(D34,КУБ!I:O,7,0)/10</f>
        <v>1755.4</v>
      </c>
      <c r="V34" s="43">
        <f>VLOOKUP(D34,КУБ!I:O,5,0)</f>
        <v>108883.1</v>
      </c>
      <c r="W34" s="44">
        <f>IFERROR(V34/R34,0)</f>
        <v>0.57693746489619879</v>
      </c>
    </row>
    <row r="35" spans="1:23" x14ac:dyDescent="0.25">
      <c r="A35" s="6">
        <v>2022</v>
      </c>
      <c r="B35" s="6" t="s">
        <v>119</v>
      </c>
      <c r="C35" s="54" t="str">
        <f>КУБ!B56</f>
        <v>Хасавюрт, ул, Даибова, 8</v>
      </c>
      <c r="D35" s="6" t="str">
        <f>VLOOKUP(C35,КУБ!B:C,2,0)</f>
        <v>8025</v>
      </c>
      <c r="E35" s="26">
        <f>IFERROR(VLOOKUP(D35,КУБ!E:G,3,0)," ")</f>
        <v>581</v>
      </c>
      <c r="F35" s="9">
        <f>E35-J35</f>
        <v>419</v>
      </c>
      <c r="G35" s="9">
        <f>IFERROR(VLOOKUP(D35,КУБ!I:K,2,0)," ")</f>
        <v>55</v>
      </c>
      <c r="H35" s="9" t="s">
        <v>131</v>
      </c>
      <c r="I35" s="8" t="s">
        <v>131</v>
      </c>
      <c r="J35" s="7">
        <f>IFERROR(VLOOKUP(D35,КУБ!I:K,3,0)," ")</f>
        <v>162</v>
      </c>
      <c r="K35" s="8">
        <f>IFERROR((G35/F35),0)</f>
        <v>0.13126491646778043</v>
      </c>
      <c r="L35" s="8">
        <f>J35/E35</f>
        <v>0.27882960413080893</v>
      </c>
      <c r="M35" s="18">
        <f>IFERROR((F35/G35),0)</f>
        <v>7.6181818181818182</v>
      </c>
      <c r="N35" s="6">
        <f>IFERROR(RANK(G35,$G$11:$G$63)," ")</f>
        <v>27</v>
      </c>
      <c r="O35" s="6">
        <f>IFERROR(RANK(K35,$K$11:$K$63)," ")</f>
        <v>25</v>
      </c>
      <c r="P35" s="6">
        <f>SUM(N35:O35)</f>
        <v>52</v>
      </c>
      <c r="Q35" s="19">
        <f>G35/(F35/100)</f>
        <v>13.126491646778042</v>
      </c>
      <c r="R35" s="43">
        <f>IFERROR(VLOOKUP(D35,КУБ!E:G,2,0)," ")</f>
        <v>253151</v>
      </c>
      <c r="S35" s="43">
        <f>VLOOKUP(D35,КУБ!I:O,4,0)</f>
        <v>274804.59999999998</v>
      </c>
      <c r="T35" s="43">
        <f>VLOOKUP(D35,КУБ!I:O,6,0)</f>
        <v>0.02</v>
      </c>
      <c r="U35" s="43">
        <f>VLOOKUP(D35,КУБ!I:O,7,0)/10</f>
        <v>2416.2300000000005</v>
      </c>
      <c r="V35" s="43">
        <f>VLOOKUP(D35,КУБ!I:O,5,0)</f>
        <v>272388.35000000003</v>
      </c>
      <c r="W35" s="44">
        <f>IFERROR(V35/R35,0)</f>
        <v>1.0759916018502793</v>
      </c>
    </row>
    <row r="36" spans="1:23" x14ac:dyDescent="0.25">
      <c r="A36" s="6">
        <v>2022</v>
      </c>
      <c r="B36" s="6" t="s">
        <v>119</v>
      </c>
      <c r="C36" s="13" t="str">
        <f>КУБ!B34</f>
        <v>Махачкала, ул. Абдулхакима Исмаилова, 32 (ДФ+)</v>
      </c>
      <c r="D36" s="6" t="str">
        <f>VLOOKUP(C36,КУБ!B:C,2,0)</f>
        <v>8083</v>
      </c>
      <c r="E36" s="26">
        <f>IFERROR(VLOOKUP(D36,КУБ!E:G,3,0)," ")</f>
        <v>2936</v>
      </c>
      <c r="F36" s="9">
        <f>E36-J36</f>
        <v>2418</v>
      </c>
      <c r="G36" s="9">
        <f>IFERROR(VLOOKUP(D36,КУБ!I:K,2,0)," ")</f>
        <v>298</v>
      </c>
      <c r="H36" s="9" t="s">
        <v>131</v>
      </c>
      <c r="I36" s="8" t="s">
        <v>131</v>
      </c>
      <c r="J36" s="7">
        <f>IFERROR(VLOOKUP(D36,КУБ!I:K,3,0)," ")</f>
        <v>518</v>
      </c>
      <c r="K36" s="8">
        <f>IFERROR((G36/F36),0)</f>
        <v>0.12324234904880066</v>
      </c>
      <c r="L36" s="8">
        <f>J36/E36</f>
        <v>0.17643051771117166</v>
      </c>
      <c r="M36" s="18">
        <f>IFERROR((F36/G36),0)</f>
        <v>8.1140939597315445</v>
      </c>
      <c r="N36" s="6">
        <f>IFERROR(RANK(G36,$G$11:$G$63)," ")</f>
        <v>3</v>
      </c>
      <c r="O36" s="6">
        <f>IFERROR(RANK(K36,$K$11:$K$63)," ")</f>
        <v>26</v>
      </c>
      <c r="P36" s="6">
        <f>SUM(N36:O36)</f>
        <v>29</v>
      </c>
      <c r="Q36" s="19">
        <f>G36/(F36/100)</f>
        <v>12.324234904880067</v>
      </c>
      <c r="R36" s="43">
        <f>IFERROR(VLOOKUP(D36,КУБ!E:G,2,0)," ")</f>
        <v>2008173</v>
      </c>
      <c r="S36" s="43">
        <f>VLOOKUP(D36,КУБ!I:O,4,0)</f>
        <v>983391.49999999988</v>
      </c>
      <c r="T36" s="43">
        <f>VLOOKUP(D36,КУБ!I:O,6,0)</f>
        <v>0.04</v>
      </c>
      <c r="U36" s="43">
        <f>VLOOKUP(D36,КУБ!I:O,7,0)/10</f>
        <v>4694.67</v>
      </c>
      <c r="V36" s="43">
        <f>VLOOKUP(D36,КУБ!I:O,5,0)</f>
        <v>978696.78999999992</v>
      </c>
      <c r="W36" s="44">
        <f>IFERROR(V36/R36,0)</f>
        <v>0.48735681139025366</v>
      </c>
    </row>
    <row r="37" spans="1:23" x14ac:dyDescent="0.25">
      <c r="A37" s="6">
        <v>2022</v>
      </c>
      <c r="B37" s="6" t="s">
        <v>119</v>
      </c>
      <c r="C37" s="13" t="str">
        <f>КУБ!B33</f>
        <v>Махачкала, пр. Р.Гамзатова, 119</v>
      </c>
      <c r="D37" s="6" t="str">
        <f>VLOOKUP(C37,КУБ!B:C,2,0)</f>
        <v>8003</v>
      </c>
      <c r="E37" s="26">
        <f>IFERROR(VLOOKUP(D37,КУБ!E:G,3,0)," ")</f>
        <v>482</v>
      </c>
      <c r="F37" s="9">
        <f>E37-J37</f>
        <v>325</v>
      </c>
      <c r="G37" s="9">
        <f>IFERROR(VLOOKUP(D37,КУБ!I:K,2,0)," ")</f>
        <v>34</v>
      </c>
      <c r="H37" s="9" t="s">
        <v>131</v>
      </c>
      <c r="I37" s="8" t="s">
        <v>131</v>
      </c>
      <c r="J37" s="7">
        <f>IFERROR(VLOOKUP(D37,КУБ!I:K,3,0)," ")</f>
        <v>157</v>
      </c>
      <c r="K37" s="8">
        <f>IFERROR((G37/F37),0)</f>
        <v>0.10461538461538461</v>
      </c>
      <c r="L37" s="8">
        <f>J37/E37</f>
        <v>0.32572614107883818</v>
      </c>
      <c r="M37" s="18">
        <f>IFERROR((F37/G37),0)</f>
        <v>9.5588235294117645</v>
      </c>
      <c r="N37" s="6">
        <f>IFERROR(RANK(G37,$G$11:$G$63)," ")</f>
        <v>36</v>
      </c>
      <c r="O37" s="6">
        <f>IFERROR(RANK(K37,$K$11:$K$63)," ")</f>
        <v>27</v>
      </c>
      <c r="P37" s="6">
        <f>SUM(N37:O37)</f>
        <v>63</v>
      </c>
      <c r="Q37" s="19">
        <f>G37/(F37/100)</f>
        <v>10.461538461538462</v>
      </c>
      <c r="R37" s="43">
        <f>IFERROR(VLOOKUP(D37,КУБ!E:G,2,0)," ")</f>
        <v>153014</v>
      </c>
      <c r="S37" s="43">
        <f>VLOOKUP(D37,КУБ!I:O,4,0)</f>
        <v>111421.5</v>
      </c>
      <c r="T37" s="43">
        <f>VLOOKUP(D37,КУБ!I:O,6,0)</f>
        <v>44.019999999999996</v>
      </c>
      <c r="U37" s="43">
        <f>VLOOKUP(D37,КУБ!I:O,7,0)/10</f>
        <v>1268.3700000000001</v>
      </c>
      <c r="V37" s="43">
        <f>VLOOKUP(D37,КУБ!I:O,5,0)</f>
        <v>110109.11</v>
      </c>
      <c r="W37" s="44">
        <f>IFERROR(V37/R37,0)</f>
        <v>0.71960153972839092</v>
      </c>
    </row>
    <row r="38" spans="1:23" x14ac:dyDescent="0.25">
      <c r="A38" s="6">
        <v>2022</v>
      </c>
      <c r="B38" s="6" t="s">
        <v>119</v>
      </c>
      <c r="C38" s="13" t="str">
        <f>КУБ!B17</f>
        <v>Махачкала, п. Семендер, пр. Казбекова, 32</v>
      </c>
      <c r="D38" s="6" t="str">
        <f>VLOOKUP(C38,КУБ!B:C,2,0)</f>
        <v>8023</v>
      </c>
      <c r="E38" s="26">
        <f>IFERROR(VLOOKUP(D38,КУБ!E:G,3,0)," ")</f>
        <v>1288</v>
      </c>
      <c r="F38" s="9">
        <f>E38-J38</f>
        <v>1122</v>
      </c>
      <c r="G38" s="9">
        <f>IFERROR(VLOOKUP(D38,КУБ!I:K,2,0)," ")</f>
        <v>108</v>
      </c>
      <c r="H38" s="9" t="s">
        <v>131</v>
      </c>
      <c r="I38" s="8" t="s">
        <v>131</v>
      </c>
      <c r="J38" s="7">
        <f>IFERROR(VLOOKUP(D38,КУБ!I:K,3,0)," ")</f>
        <v>166</v>
      </c>
      <c r="K38" s="8">
        <f>IFERROR((G38/F38),0)</f>
        <v>9.6256684491978606E-2</v>
      </c>
      <c r="L38" s="8">
        <f>J38/E38</f>
        <v>0.12888198757763975</v>
      </c>
      <c r="M38" s="18">
        <f>IFERROR((F38/G38),0)</f>
        <v>10.388888888888889</v>
      </c>
      <c r="N38" s="6">
        <f>IFERROR(RANK(G38,$G$11:$G$63)," ")</f>
        <v>17</v>
      </c>
      <c r="O38" s="6">
        <f>IFERROR(RANK(K38,$K$11:$K$63)," ")</f>
        <v>28</v>
      </c>
      <c r="P38" s="6">
        <f>SUM(N38:O38)</f>
        <v>45</v>
      </c>
      <c r="Q38" s="19">
        <f>G38/(F38/100)</f>
        <v>9.6256684491978604</v>
      </c>
      <c r="R38" s="43">
        <f>IFERROR(VLOOKUP(D38,КУБ!E:G,2,0)," ")</f>
        <v>628884</v>
      </c>
      <c r="S38" s="43">
        <f>VLOOKUP(D38,КУБ!I:O,4,0)</f>
        <v>196049</v>
      </c>
      <c r="T38" s="43">
        <f>VLOOKUP(D38,КУБ!I:O,6,0)</f>
        <v>94</v>
      </c>
      <c r="U38" s="43">
        <f>VLOOKUP(D38,КУБ!I:O,7,0)/10</f>
        <v>1134.7800000000002</v>
      </c>
      <c r="V38" s="43">
        <f>VLOOKUP(D38,КУБ!I:O,5,0)</f>
        <v>194820.22</v>
      </c>
      <c r="W38" s="44">
        <f>IFERROR(V38/R38,0)</f>
        <v>0.30978721035993917</v>
      </c>
    </row>
    <row r="39" spans="1:23" x14ac:dyDescent="0.25">
      <c r="A39" s="6">
        <v>2022</v>
      </c>
      <c r="B39" s="6" t="s">
        <v>119</v>
      </c>
      <c r="C39" s="54" t="str">
        <f>КУБ!B35</f>
        <v>Махачкала, ул. Абдулы Алиева, 4А (Абдулы Алиева, 18)</v>
      </c>
      <c r="D39" s="6" t="str">
        <f>VLOOKUP(C39,КУБ!B:C,2,0)</f>
        <v>8035</v>
      </c>
      <c r="E39" s="26">
        <f>IFERROR(VLOOKUP(D39,КУБ!E:G,3,0)," ")</f>
        <v>1484</v>
      </c>
      <c r="F39" s="9">
        <f>E39-J39</f>
        <v>1115</v>
      </c>
      <c r="G39" s="9">
        <f>IFERROR(VLOOKUP(D39,КУБ!I:K,2,0)," ")</f>
        <v>107</v>
      </c>
      <c r="H39" s="9" t="s">
        <v>131</v>
      </c>
      <c r="I39" s="8" t="s">
        <v>131</v>
      </c>
      <c r="J39" s="7">
        <f>IFERROR(VLOOKUP(D39,КУБ!I:K,3,0)," ")</f>
        <v>369</v>
      </c>
      <c r="K39" s="8">
        <f>IFERROR((G39/F39),0)</f>
        <v>9.5964125560538113E-2</v>
      </c>
      <c r="L39" s="8">
        <f>J39/E39</f>
        <v>0.2486522911051213</v>
      </c>
      <c r="M39" s="18">
        <f>IFERROR((F39/G39),0)</f>
        <v>10.420560747663551</v>
      </c>
      <c r="N39" s="6">
        <f>IFERROR(RANK(G39,$G$11:$G$63)," ")</f>
        <v>18</v>
      </c>
      <c r="O39" s="6">
        <f>IFERROR(RANK(K39,$K$11:$K$63)," ")</f>
        <v>29</v>
      </c>
      <c r="P39" s="6">
        <f>SUM(N39:O39)</f>
        <v>47</v>
      </c>
      <c r="Q39" s="19">
        <f>G39/(F39/100)</f>
        <v>9.5964125560538118</v>
      </c>
      <c r="R39" s="43">
        <f>IFERROR(VLOOKUP(D39,КУБ!E:G,2,0)," ")</f>
        <v>604777</v>
      </c>
      <c r="S39" s="43">
        <f>VLOOKUP(D39,КУБ!I:O,4,0)</f>
        <v>550520.5</v>
      </c>
      <c r="T39" s="43">
        <f>VLOOKUP(D39,КУБ!I:O,6,0)</f>
        <v>0.01</v>
      </c>
      <c r="U39" s="43">
        <f>VLOOKUP(D39,КУБ!I:O,7,0)/10</f>
        <v>4281.6500000000015</v>
      </c>
      <c r="V39" s="43">
        <f>VLOOKUP(D39,КУБ!I:O,5,0)</f>
        <v>546238.84</v>
      </c>
      <c r="W39" s="44">
        <f>IFERROR(V39/R39,0)</f>
        <v>0.90320703333625452</v>
      </c>
    </row>
    <row r="40" spans="1:23" x14ac:dyDescent="0.25">
      <c r="A40" s="6">
        <v>2022</v>
      </c>
      <c r="B40" s="6" t="s">
        <v>119</v>
      </c>
      <c r="C40" s="13" t="str">
        <f>КУБ!B52</f>
        <v>Махачкала, ул. Талгинская, 19</v>
      </c>
      <c r="D40" s="6" t="str">
        <f>VLOOKUP(C40,КУБ!B:C,2,0)</f>
        <v>8057</v>
      </c>
      <c r="E40" s="26">
        <f>IFERROR(VLOOKUP(D40,КУБ!E:G,3,0)," ")</f>
        <v>481</v>
      </c>
      <c r="F40" s="9">
        <f>E40-J40</f>
        <v>290</v>
      </c>
      <c r="G40" s="9">
        <f>IFERROR(VLOOKUP(D40,КУБ!I:K,2,0)," ")</f>
        <v>22</v>
      </c>
      <c r="H40" s="9" t="s">
        <v>131</v>
      </c>
      <c r="I40" s="8" t="s">
        <v>131</v>
      </c>
      <c r="J40" s="7">
        <f>IFERROR(VLOOKUP(D40,КУБ!I:K,3,0)," ")</f>
        <v>191</v>
      </c>
      <c r="K40" s="8">
        <f>IFERROR((G40/F40),0)</f>
        <v>7.586206896551724E-2</v>
      </c>
      <c r="L40" s="8">
        <f>J40/E40</f>
        <v>0.39708939708939711</v>
      </c>
      <c r="M40" s="18">
        <f>IFERROR((F40/G40),0)</f>
        <v>13.181818181818182</v>
      </c>
      <c r="N40" s="6">
        <f>IFERROR(RANK(G40,$G$11:$G$63)," ")</f>
        <v>42</v>
      </c>
      <c r="O40" s="6">
        <f>IFERROR(RANK(K40,$K$11:$K$63)," ")</f>
        <v>30</v>
      </c>
      <c r="P40" s="6">
        <f>SUM(N40:O40)</f>
        <v>72</v>
      </c>
      <c r="Q40" s="19">
        <f>G40/(F40/100)</f>
        <v>7.5862068965517242</v>
      </c>
      <c r="R40" s="43">
        <f>IFERROR(VLOOKUP(D40,КУБ!E:G,2,0)," ")</f>
        <v>151443</v>
      </c>
      <c r="S40" s="43">
        <f>VLOOKUP(D40,КУБ!I:O,4,0)</f>
        <v>103777.5</v>
      </c>
      <c r="T40" s="43">
        <f>VLOOKUP(D40,КУБ!I:O,6,0)</f>
        <v>0</v>
      </c>
      <c r="U40" s="43">
        <f>VLOOKUP(D40,КУБ!I:O,7,0)/10</f>
        <v>523.67999999999995</v>
      </c>
      <c r="V40" s="43">
        <f>VLOOKUP(D40,КУБ!I:O,5,0)</f>
        <v>103253.82</v>
      </c>
      <c r="W40" s="44">
        <f>IFERROR(V40/R40,0)</f>
        <v>0.68179988510528722</v>
      </c>
    </row>
    <row r="41" spans="1:23" x14ac:dyDescent="0.25">
      <c r="A41" s="6">
        <v>2022</v>
      </c>
      <c r="B41" s="6" t="s">
        <v>119</v>
      </c>
      <c r="C41" s="13" t="str">
        <f>КУБ!B18</f>
        <v>Махачкала, пр. А.Акушинского, 1А (Им.Шамиля, 4 в)</v>
      </c>
      <c r="D41" s="6" t="str">
        <f>VLOOKUP(C41,КУБ!B:C,2,0)</f>
        <v>8061</v>
      </c>
      <c r="E41" s="26">
        <f>IFERROR(VLOOKUP(D41,КУБ!E:G,3,0)," ")</f>
        <v>1696</v>
      </c>
      <c r="F41" s="9">
        <f>E41-J41</f>
        <v>1480</v>
      </c>
      <c r="G41" s="9">
        <f>IFERROR(VLOOKUP(D41,КУБ!I:K,2,0)," ")</f>
        <v>110</v>
      </c>
      <c r="H41" s="9" t="s">
        <v>131</v>
      </c>
      <c r="I41" s="8" t="s">
        <v>131</v>
      </c>
      <c r="J41" s="7">
        <f>IFERROR(VLOOKUP(D41,КУБ!I:K,3,0)," ")</f>
        <v>216</v>
      </c>
      <c r="K41" s="8">
        <f>IFERROR((G41/F41),0)</f>
        <v>7.4324324324324328E-2</v>
      </c>
      <c r="L41" s="8">
        <f>J41/E41</f>
        <v>0.12735849056603774</v>
      </c>
      <c r="M41" s="18">
        <f>IFERROR((F41/G41),0)</f>
        <v>13.454545454545455</v>
      </c>
      <c r="N41" s="6">
        <f>IFERROR(RANK(G41,$G$11:$G$63)," ")</f>
        <v>15</v>
      </c>
      <c r="O41" s="6">
        <f>IFERROR(RANK(K41,$K$11:$K$63)," ")</f>
        <v>31</v>
      </c>
      <c r="P41" s="6">
        <f>SUM(N41:O41)</f>
        <v>46</v>
      </c>
      <c r="Q41" s="19">
        <f>G41/(F41/100)</f>
        <v>7.4324324324324325</v>
      </c>
      <c r="R41" s="43">
        <f>IFERROR(VLOOKUP(D41,КУБ!E:G,2,0)," ")</f>
        <v>696553</v>
      </c>
      <c r="S41" s="43">
        <f>VLOOKUP(D41,КУБ!I:O,4,0)</f>
        <v>244128.5</v>
      </c>
      <c r="T41" s="43">
        <f>VLOOKUP(D41,КУБ!I:O,6,0)</f>
        <v>63</v>
      </c>
      <c r="U41" s="43">
        <f>VLOOKUP(D41,КУБ!I:O,7,0)/10</f>
        <v>1653.15</v>
      </c>
      <c r="V41" s="43">
        <f>VLOOKUP(D41,КУБ!I:O,5,0)</f>
        <v>242412.35</v>
      </c>
      <c r="W41" s="44">
        <f>IFERROR(V41/R41,0)</f>
        <v>0.34801709274096876</v>
      </c>
    </row>
    <row r="42" spans="1:23" x14ac:dyDescent="0.25">
      <c r="A42" s="6">
        <v>2022</v>
      </c>
      <c r="B42" s="6" t="s">
        <v>119</v>
      </c>
      <c r="C42" s="13" t="str">
        <f>КУБ!B8</f>
        <v>Бабаюрт, ул. Дж.Алиева, 30</v>
      </c>
      <c r="D42" s="6" t="str">
        <f>VLOOKUP(C42,КУБ!B:C,2,0)</f>
        <v>8026</v>
      </c>
      <c r="E42" s="26">
        <f>IFERROR(VLOOKUP(D42,КУБ!E:G,3,0)," ")</f>
        <v>701</v>
      </c>
      <c r="F42" s="9">
        <f>E42-J42</f>
        <v>579</v>
      </c>
      <c r="G42" s="9">
        <f>IFERROR(VLOOKUP(D42,КУБ!I:K,2,0)," ")</f>
        <v>39</v>
      </c>
      <c r="H42" s="9" t="s">
        <v>131</v>
      </c>
      <c r="I42" s="8" t="s">
        <v>131</v>
      </c>
      <c r="J42" s="7">
        <f>IFERROR(VLOOKUP(D42,КУБ!I:K,3,0)," ")</f>
        <v>122</v>
      </c>
      <c r="K42" s="8">
        <f>IFERROR((G42/F42),0)</f>
        <v>6.7357512953367879E-2</v>
      </c>
      <c r="L42" s="8">
        <f>J42/E42</f>
        <v>0.17403708987161198</v>
      </c>
      <c r="M42" s="18">
        <f>IFERROR((F42/G42),0)</f>
        <v>14.846153846153847</v>
      </c>
      <c r="N42" s="6">
        <f>IFERROR(RANK(G42,$G$11:$G$63)," ")</f>
        <v>33</v>
      </c>
      <c r="O42" s="6">
        <f>IFERROR(RANK(K42,$K$11:$K$63)," ")</f>
        <v>32</v>
      </c>
      <c r="P42" s="6">
        <f>SUM(N42:O42)</f>
        <v>65</v>
      </c>
      <c r="Q42" s="19">
        <f>G42/(F42/100)</f>
        <v>6.7357512953367875</v>
      </c>
      <c r="R42" s="43">
        <f>IFERROR(VLOOKUP(D42,КУБ!E:G,2,0)," ")</f>
        <v>294400</v>
      </c>
      <c r="S42" s="43">
        <f>VLOOKUP(D42,КУБ!I:O,4,0)</f>
        <v>129228.5</v>
      </c>
      <c r="T42" s="43">
        <f>VLOOKUP(D42,КУБ!I:O,6,0)</f>
        <v>0.03</v>
      </c>
      <c r="U42" s="43">
        <f>VLOOKUP(D42,КУБ!I:O,7,0)/10</f>
        <v>1480.4699999999998</v>
      </c>
      <c r="V42" s="43">
        <f>VLOOKUP(D42,КУБ!I:O,5,0)</f>
        <v>127748</v>
      </c>
      <c r="W42" s="44">
        <f>IFERROR(V42/R42,0)</f>
        <v>0.43392663043478263</v>
      </c>
    </row>
    <row r="43" spans="1:23" x14ac:dyDescent="0.25">
      <c r="A43" s="6">
        <v>2022</v>
      </c>
      <c r="B43" s="6" t="s">
        <v>119</v>
      </c>
      <c r="C43" s="13" t="str">
        <f>КУБ!B38</f>
        <v>Махачкала, ул. Айвазовского, 4А/2 (пр. А.Акушинского, 361)</v>
      </c>
      <c r="D43" s="6" t="str">
        <f>VLOOKUP(C43,КУБ!B:C,2,0)</f>
        <v>8022</v>
      </c>
      <c r="E43" s="26">
        <f>IFERROR(VLOOKUP(D43,КУБ!E:G,3,0)," ")</f>
        <v>596</v>
      </c>
      <c r="F43" s="9">
        <f>E43-J43</f>
        <v>490</v>
      </c>
      <c r="G43" s="9">
        <f>IFERROR(VLOOKUP(D43,КУБ!I:K,2,0)," ")</f>
        <v>30</v>
      </c>
      <c r="H43" s="9" t="s">
        <v>131</v>
      </c>
      <c r="I43" s="8" t="s">
        <v>131</v>
      </c>
      <c r="J43" s="7">
        <f>IFERROR(VLOOKUP(D43,КУБ!I:K,3,0)," ")</f>
        <v>106</v>
      </c>
      <c r="K43" s="8">
        <f>IFERROR((G43/F43),0)</f>
        <v>6.1224489795918366E-2</v>
      </c>
      <c r="L43" s="8">
        <f>J43/E43</f>
        <v>0.17785234899328858</v>
      </c>
      <c r="M43" s="18">
        <f>IFERROR((F43/G43),0)</f>
        <v>16.333333333333332</v>
      </c>
      <c r="N43" s="6">
        <f>IFERROR(RANK(G43,$G$11:$G$63)," ")</f>
        <v>39</v>
      </c>
      <c r="O43" s="6">
        <f>IFERROR(RANK(K43,$K$11:$K$63)," ")</f>
        <v>33</v>
      </c>
      <c r="P43" s="6">
        <f>SUM(N43:O43)</f>
        <v>72</v>
      </c>
      <c r="Q43" s="19">
        <f>G43/(F43/100)</f>
        <v>6.1224489795918364</v>
      </c>
      <c r="R43" s="43">
        <f>IFERROR(VLOOKUP(D43,КУБ!E:G,2,0)," ")</f>
        <v>183092</v>
      </c>
      <c r="S43" s="43">
        <f>VLOOKUP(D43,КУБ!I:O,4,0)</f>
        <v>127352</v>
      </c>
      <c r="T43" s="43">
        <f>VLOOKUP(D43,КУБ!I:O,6,0)</f>
        <v>28</v>
      </c>
      <c r="U43" s="43">
        <f>VLOOKUP(D43,КУБ!I:O,7,0)/10</f>
        <v>996.57999999999993</v>
      </c>
      <c r="V43" s="43">
        <f>VLOOKUP(D43,КУБ!I:O,5,0)</f>
        <v>126327.42</v>
      </c>
      <c r="W43" s="44">
        <f>IFERROR(V43/R43,0)</f>
        <v>0.68996690188539089</v>
      </c>
    </row>
    <row r="44" spans="1:23" x14ac:dyDescent="0.25">
      <c r="A44" s="6">
        <v>2022</v>
      </c>
      <c r="B44" s="6" t="s">
        <v>119</v>
      </c>
      <c r="C44" s="13" t="str">
        <f>КУБ!B19</f>
        <v>Махачкала, пр. А.Акушинского, 34</v>
      </c>
      <c r="D44" s="6" t="str">
        <f>VLOOKUP(C44,КУБ!B:C,2,0)</f>
        <v>8070</v>
      </c>
      <c r="E44" s="26">
        <f>IFERROR(VLOOKUP(D44,КУБ!E:G,3,0)," ")</f>
        <v>416</v>
      </c>
      <c r="F44" s="9">
        <f>E44-J44</f>
        <v>376</v>
      </c>
      <c r="G44" s="9">
        <f>IFERROR(VLOOKUP(D44,КУБ!I:K,2,0)," ")</f>
        <v>22</v>
      </c>
      <c r="H44" s="9" t="s">
        <v>131</v>
      </c>
      <c r="I44" s="8" t="s">
        <v>131</v>
      </c>
      <c r="J44" s="7">
        <f>IFERROR(VLOOKUP(D44,КУБ!I:K,3,0)," ")</f>
        <v>40</v>
      </c>
      <c r="K44" s="8">
        <f>IFERROR((G44/F44),0)</f>
        <v>5.8510638297872342E-2</v>
      </c>
      <c r="L44" s="8">
        <f>J44/E44</f>
        <v>9.6153846153846159E-2</v>
      </c>
      <c r="M44" s="18">
        <f>IFERROR((F44/G44),0)</f>
        <v>17.09090909090909</v>
      </c>
      <c r="N44" s="6">
        <f>IFERROR(RANK(G44,$G$11:$G$63)," ")</f>
        <v>42</v>
      </c>
      <c r="O44" s="6">
        <f>IFERROR(RANK(K44,$K$11:$K$63)," ")</f>
        <v>34</v>
      </c>
      <c r="P44" s="6">
        <f>SUM(N44:O44)</f>
        <v>76</v>
      </c>
      <c r="Q44" s="19">
        <f>G44/(F44/100)</f>
        <v>5.8510638297872344</v>
      </c>
      <c r="R44" s="43">
        <f>IFERROR(VLOOKUP(D44,КУБ!E:G,2,0)," ")</f>
        <v>120543</v>
      </c>
      <c r="S44" s="43">
        <f>VLOOKUP(D44,КУБ!I:O,4,0)</f>
        <v>18091.5</v>
      </c>
      <c r="T44" s="43">
        <f>VLOOKUP(D44,КУБ!I:O,6,0)</f>
        <v>0</v>
      </c>
      <c r="U44" s="43">
        <f>VLOOKUP(D44,КУБ!I:O,7,0)/10</f>
        <v>309.93</v>
      </c>
      <c r="V44" s="43">
        <f>VLOOKUP(D44,КУБ!I:O,5,0)</f>
        <v>17781.57</v>
      </c>
      <c r="W44" s="44">
        <f>IFERROR(V44/R44,0)</f>
        <v>0.14751225703690798</v>
      </c>
    </row>
    <row r="45" spans="1:23" x14ac:dyDescent="0.25">
      <c r="A45" s="6">
        <v>2022</v>
      </c>
      <c r="B45" s="6" t="s">
        <v>119</v>
      </c>
      <c r="C45" s="13" t="str">
        <f>КУБ!B11</f>
        <v>Каспийск, ул. Азиза Алиева, 2а</v>
      </c>
      <c r="D45" s="6" t="str">
        <f>VLOOKUP(C45,КУБ!B:C,2,0)</f>
        <v>8039</v>
      </c>
      <c r="E45" s="26">
        <f>IFERROR(VLOOKUP(D45,КУБ!E:G,3,0)," ")</f>
        <v>344</v>
      </c>
      <c r="F45" s="9">
        <f>E45-J45</f>
        <v>270</v>
      </c>
      <c r="G45" s="9">
        <f>IFERROR(VLOOKUP(D45,КУБ!I:K,2,0)," ")</f>
        <v>15</v>
      </c>
      <c r="H45" s="9" t="s">
        <v>131</v>
      </c>
      <c r="I45" s="8" t="s">
        <v>131</v>
      </c>
      <c r="J45" s="7">
        <f>IFERROR(VLOOKUP(D45,КУБ!I:K,3,0)," ")</f>
        <v>74</v>
      </c>
      <c r="K45" s="8">
        <f>IFERROR((G45/F45),0)</f>
        <v>5.5555555555555552E-2</v>
      </c>
      <c r="L45" s="8">
        <f>J45/E45</f>
        <v>0.21511627906976744</v>
      </c>
      <c r="M45" s="18">
        <f>IFERROR((F45/G45),0)</f>
        <v>18</v>
      </c>
      <c r="N45" s="6">
        <f>IFERROR(RANK(G45,$G$11:$G$63)," ")</f>
        <v>47</v>
      </c>
      <c r="O45" s="6">
        <f>IFERROR(RANK(K45,$K$11:$K$63)," ")</f>
        <v>35</v>
      </c>
      <c r="P45" s="6">
        <f>SUM(N45:O45)</f>
        <v>82</v>
      </c>
      <c r="Q45" s="19">
        <f>G45/(F45/100)</f>
        <v>5.5555555555555554</v>
      </c>
      <c r="R45" s="43">
        <f>IFERROR(VLOOKUP(D45,КУБ!E:G,2,0)," ")</f>
        <v>138647</v>
      </c>
      <c r="S45" s="43">
        <f>VLOOKUP(D45,КУБ!I:O,4,0)</f>
        <v>74165.5</v>
      </c>
      <c r="T45" s="43">
        <f>VLOOKUP(D45,КУБ!I:O,6,0)</f>
        <v>0</v>
      </c>
      <c r="U45" s="43">
        <f>VLOOKUP(D45,КУБ!I:O,7,0)/10</f>
        <v>794.26</v>
      </c>
      <c r="V45" s="43">
        <f>VLOOKUP(D45,КУБ!I:O,5,0)</f>
        <v>73371.240000000005</v>
      </c>
      <c r="W45" s="44">
        <f>IFERROR(V45/R45,0)</f>
        <v>0.52919457326880504</v>
      </c>
    </row>
    <row r="46" spans="1:23" x14ac:dyDescent="0.25">
      <c r="A46" s="6">
        <v>2022</v>
      </c>
      <c r="B46" s="6" t="s">
        <v>119</v>
      </c>
      <c r="C46" s="13" t="str">
        <f>КУБ!B26</f>
        <v>Махачкала, пр. Им.Шамиля,  35"А"</v>
      </c>
      <c r="D46" s="6" t="str">
        <f>VLOOKUP(C46,КУБ!B:C,2,0)</f>
        <v>8078</v>
      </c>
      <c r="E46" s="26">
        <f>IFERROR(VLOOKUP(D46,КУБ!E:G,3,0)," ")</f>
        <v>742</v>
      </c>
      <c r="F46" s="9">
        <f>E46-J46</f>
        <v>655</v>
      </c>
      <c r="G46" s="9">
        <f>IFERROR(VLOOKUP(D46,КУБ!I:K,2,0)," ")</f>
        <v>36</v>
      </c>
      <c r="H46" s="9" t="s">
        <v>131</v>
      </c>
      <c r="I46" s="8" t="s">
        <v>131</v>
      </c>
      <c r="J46" s="7">
        <f>IFERROR(VLOOKUP(D46,КУБ!I:K,3,0)," ")</f>
        <v>87</v>
      </c>
      <c r="K46" s="8">
        <f>IFERROR((G46/F46),0)</f>
        <v>5.4961832061068701E-2</v>
      </c>
      <c r="L46" s="8">
        <f>J46/E46</f>
        <v>0.11725067385444744</v>
      </c>
      <c r="M46" s="18">
        <f>IFERROR((F46/G46),0)</f>
        <v>18.194444444444443</v>
      </c>
      <c r="N46" s="6">
        <f>IFERROR(RANK(G46,$G$11:$G$63)," ")</f>
        <v>34</v>
      </c>
      <c r="O46" s="6">
        <f>IFERROR(RANK(K46,$K$11:$K$63)," ")</f>
        <v>36</v>
      </c>
      <c r="P46" s="6">
        <f>SUM(N46:O46)</f>
        <v>70</v>
      </c>
      <c r="Q46" s="19">
        <f>G46/(F46/100)</f>
        <v>5.4961832061068705</v>
      </c>
      <c r="R46" s="43">
        <f>IFERROR(VLOOKUP(D46,КУБ!E:G,2,0)," ")</f>
        <v>226014</v>
      </c>
      <c r="S46" s="43">
        <f>VLOOKUP(D46,КУБ!I:O,4,0)</f>
        <v>49975</v>
      </c>
      <c r="T46" s="43">
        <f>VLOOKUP(D46,КУБ!I:O,6,0)</f>
        <v>3</v>
      </c>
      <c r="U46" s="43">
        <f>VLOOKUP(D46,КУБ!I:O,7,0)/10</f>
        <v>971.56999999999994</v>
      </c>
      <c r="V46" s="43">
        <f>VLOOKUP(D46,КУБ!I:O,5,0)</f>
        <v>49000.43</v>
      </c>
      <c r="W46" s="44">
        <f>IFERROR(V46/R46,0)</f>
        <v>0.21680263169538169</v>
      </c>
    </row>
    <row r="47" spans="1:23" x14ac:dyDescent="0.25">
      <c r="A47" s="6">
        <v>2022</v>
      </c>
      <c r="B47" s="6" t="s">
        <v>119</v>
      </c>
      <c r="C47" s="13" t="str">
        <f>КУБ!B41</f>
        <v>Махачкала, ул. Каммаева, 19 "в"</v>
      </c>
      <c r="D47" s="6" t="str">
        <f>VLOOKUP(C47,КУБ!B:C,2,0)</f>
        <v>8009</v>
      </c>
      <c r="E47" s="26">
        <f>IFERROR(VLOOKUP(D47,КУБ!E:G,3,0)," ")</f>
        <v>630</v>
      </c>
      <c r="F47" s="9">
        <f>E47-J47</f>
        <v>562</v>
      </c>
      <c r="G47" s="9">
        <f>IFERROR(VLOOKUP(D47,КУБ!I:K,2,0)," ")</f>
        <v>30</v>
      </c>
      <c r="H47" s="9" t="s">
        <v>131</v>
      </c>
      <c r="I47" s="8" t="s">
        <v>131</v>
      </c>
      <c r="J47" s="7">
        <f>IFERROR(VLOOKUP(D47,КУБ!I:K,3,0)," ")</f>
        <v>68</v>
      </c>
      <c r="K47" s="8">
        <f>IFERROR((G47/F47),0)</f>
        <v>5.3380782918149468E-2</v>
      </c>
      <c r="L47" s="8">
        <f>J47/E47</f>
        <v>0.10793650793650794</v>
      </c>
      <c r="M47" s="18">
        <f>IFERROR((F47/G47),0)</f>
        <v>18.733333333333334</v>
      </c>
      <c r="N47" s="6">
        <f>IFERROR(RANK(G47,$G$11:$G$63)," ")</f>
        <v>39</v>
      </c>
      <c r="O47" s="6">
        <f>IFERROR(RANK(K47,$K$11:$K$63)," ")</f>
        <v>37</v>
      </c>
      <c r="P47" s="6">
        <f>SUM(N47:O47)</f>
        <v>76</v>
      </c>
      <c r="Q47" s="19">
        <f>G47/(F47/100)</f>
        <v>5.3380782918149468</v>
      </c>
      <c r="R47" s="43">
        <f>IFERROR(VLOOKUP(D47,КУБ!E:G,2,0)," ")</f>
        <v>195909</v>
      </c>
      <c r="S47" s="43">
        <f>VLOOKUP(D47,КУБ!I:O,4,0)</f>
        <v>48407</v>
      </c>
      <c r="T47" s="43">
        <f>VLOOKUP(D47,КУБ!I:O,6,0)</f>
        <v>4</v>
      </c>
      <c r="U47" s="43">
        <f>VLOOKUP(D47,КУБ!I:O,7,0)/10</f>
        <v>525.21</v>
      </c>
      <c r="V47" s="43">
        <f>VLOOKUP(D47,КУБ!I:O,5,0)</f>
        <v>47877.79</v>
      </c>
      <c r="W47" s="44">
        <f>IFERROR(V47/R47,0)</f>
        <v>0.2443879045883548</v>
      </c>
    </row>
    <row r="48" spans="1:23" x14ac:dyDescent="0.25">
      <c r="A48" s="6">
        <v>2022</v>
      </c>
      <c r="B48" s="6" t="s">
        <v>119</v>
      </c>
      <c r="C48" s="13" t="str">
        <f>КУБ!B28</f>
        <v>Махачкала, пр. Им.Шамиля, 32а</v>
      </c>
      <c r="D48" s="6" t="str">
        <f>VLOOKUP(C48,КУБ!B:C,2,0)</f>
        <v>8063</v>
      </c>
      <c r="E48" s="26">
        <f>IFERROR(VLOOKUP(D48,КУБ!E:G,3,0)," ")</f>
        <v>421</v>
      </c>
      <c r="F48" s="9">
        <f>E48-J48</f>
        <v>361</v>
      </c>
      <c r="G48" s="9">
        <f>IFERROR(VLOOKUP(D48,КУБ!I:K,2,0)," ")</f>
        <v>19</v>
      </c>
      <c r="H48" s="9" t="s">
        <v>131</v>
      </c>
      <c r="I48" s="8" t="s">
        <v>131</v>
      </c>
      <c r="J48" s="7">
        <f>IFERROR(VLOOKUP(D48,КУБ!I:K,3,0)," ")</f>
        <v>60</v>
      </c>
      <c r="K48" s="8">
        <f>IFERROR((G48/F48),0)</f>
        <v>5.2631578947368418E-2</v>
      </c>
      <c r="L48" s="8">
        <f>J48/E48</f>
        <v>0.14251781472684086</v>
      </c>
      <c r="M48" s="18">
        <f>IFERROR((F48/G48),0)</f>
        <v>19</v>
      </c>
      <c r="N48" s="6">
        <f>IFERROR(RANK(G48,$G$11:$G$63)," ")</f>
        <v>45</v>
      </c>
      <c r="O48" s="6">
        <f>IFERROR(RANK(K48,$K$11:$K$63)," ")</f>
        <v>38</v>
      </c>
      <c r="P48" s="6">
        <f>SUM(N48:O48)</f>
        <v>83</v>
      </c>
      <c r="Q48" s="19">
        <f>G48/(F48/100)</f>
        <v>5.2631578947368425</v>
      </c>
      <c r="R48" s="43">
        <f>IFERROR(VLOOKUP(D48,КУБ!E:G,2,0)," ")</f>
        <v>129855</v>
      </c>
      <c r="S48" s="43">
        <f>VLOOKUP(D48,КУБ!I:O,4,0)</f>
        <v>32386.5</v>
      </c>
      <c r="T48" s="43">
        <f>VLOOKUP(D48,КУБ!I:O,6,0)</f>
        <v>0</v>
      </c>
      <c r="U48" s="43">
        <f>VLOOKUP(D48,КУБ!I:O,7,0)/10</f>
        <v>168.4</v>
      </c>
      <c r="V48" s="43">
        <f>VLOOKUP(D48,КУБ!I:O,5,0)</f>
        <v>32218.1</v>
      </c>
      <c r="W48" s="44">
        <f>IFERROR(V48/R48,0)</f>
        <v>0.24810827461399251</v>
      </c>
    </row>
    <row r="49" spans="1:23" x14ac:dyDescent="0.25">
      <c r="A49" s="6">
        <v>2022</v>
      </c>
      <c r="B49" s="6" t="s">
        <v>119</v>
      </c>
      <c r="C49" s="13" t="str">
        <f>КУБ!B21</f>
        <v>Махачкала, пр. Амет-Хана Султана, 6К (ДФ+)</v>
      </c>
      <c r="D49" s="6" t="str">
        <f>VLOOKUP(C49,КУБ!B:C,2,0)</f>
        <v>8081</v>
      </c>
      <c r="E49" s="26">
        <f>IFERROR(VLOOKUP(D49,КУБ!E:G,3,0)," ")</f>
        <v>2774</v>
      </c>
      <c r="F49" s="9">
        <f>E49-J49</f>
        <v>2433</v>
      </c>
      <c r="G49" s="9">
        <f>IFERROR(VLOOKUP(D49,КУБ!I:K,2,0)," ")</f>
        <v>121</v>
      </c>
      <c r="H49" s="9" t="s">
        <v>131</v>
      </c>
      <c r="I49" s="8" t="s">
        <v>131</v>
      </c>
      <c r="J49" s="7">
        <f>IFERROR(VLOOKUP(D49,КУБ!I:K,3,0)," ")</f>
        <v>341</v>
      </c>
      <c r="K49" s="8">
        <f>IFERROR((G49/F49),0)</f>
        <v>4.9732840115084255E-2</v>
      </c>
      <c r="L49" s="8">
        <f>J49/E49</f>
        <v>0.12292718096611391</v>
      </c>
      <c r="M49" s="18">
        <f>IFERROR((F49/G49),0)</f>
        <v>20.107438016528924</v>
      </c>
      <c r="N49" s="6">
        <f>IFERROR(RANK(G49,$G$11:$G$63)," ")</f>
        <v>12</v>
      </c>
      <c r="O49" s="6">
        <f>IFERROR(RANK(K49,$K$11:$K$63)," ")</f>
        <v>39</v>
      </c>
      <c r="P49" s="6">
        <f>SUM(N49:O49)</f>
        <v>51</v>
      </c>
      <c r="Q49" s="19">
        <f>G49/(F49/100)</f>
        <v>4.9732840115084258</v>
      </c>
      <c r="R49" s="43">
        <f>IFERROR(VLOOKUP(D49,КУБ!E:G,2,0)," ")</f>
        <v>1880992</v>
      </c>
      <c r="S49" s="43">
        <f>VLOOKUP(D49,КУБ!I:O,4,0)</f>
        <v>599700.5</v>
      </c>
      <c r="T49" s="43">
        <f>VLOOKUP(D49,КУБ!I:O,6,0)</f>
        <v>168.01</v>
      </c>
      <c r="U49" s="43">
        <f>VLOOKUP(D49,КУБ!I:O,7,0)/10</f>
        <v>6028.9500000000007</v>
      </c>
      <c r="V49" s="43">
        <f>VLOOKUP(D49,КУБ!I:O,5,0)</f>
        <v>593503.54</v>
      </c>
      <c r="W49" s="44">
        <f>IFERROR(V49/R49,0)</f>
        <v>0.31552688156036818</v>
      </c>
    </row>
    <row r="50" spans="1:23" x14ac:dyDescent="0.25">
      <c r="A50" s="6">
        <v>2022</v>
      </c>
      <c r="B50" s="6" t="s">
        <v>119</v>
      </c>
      <c r="C50" s="13" t="str">
        <f>КУБ!B51</f>
        <v>Махачкала, ул. Радужная, 4</v>
      </c>
      <c r="D50" s="6" t="str">
        <f>VLOOKUP(C50,КУБ!B:C,2,0)</f>
        <v>8032</v>
      </c>
      <c r="E50" s="26">
        <f>IFERROR(VLOOKUP(D50,КУБ!E:G,3,0)," ")</f>
        <v>764</v>
      </c>
      <c r="F50" s="9">
        <f>E50-J50</f>
        <v>668</v>
      </c>
      <c r="G50" s="9">
        <f>IFERROR(VLOOKUP(D50,КУБ!I:K,2,0)," ")</f>
        <v>31</v>
      </c>
      <c r="H50" s="9" t="s">
        <v>131</v>
      </c>
      <c r="I50" s="8" t="s">
        <v>131</v>
      </c>
      <c r="J50" s="7">
        <f>IFERROR(VLOOKUP(D50,КУБ!I:K,3,0)," ")</f>
        <v>96</v>
      </c>
      <c r="K50" s="8">
        <f>IFERROR((G50/F50),0)</f>
        <v>4.6407185628742513E-2</v>
      </c>
      <c r="L50" s="8">
        <f>J50/E50</f>
        <v>0.1256544502617801</v>
      </c>
      <c r="M50" s="18">
        <f>IFERROR((F50/G50),0)</f>
        <v>21.548387096774192</v>
      </c>
      <c r="N50" s="6">
        <f>IFERROR(RANK(G50,$G$11:$G$63)," ")</f>
        <v>38</v>
      </c>
      <c r="O50" s="6">
        <f>IFERROR(RANK(K50,$K$11:$K$63)," ")</f>
        <v>40</v>
      </c>
      <c r="P50" s="6">
        <f>SUM(N50:O50)</f>
        <v>78</v>
      </c>
      <c r="Q50" s="19">
        <f>G50/(F50/100)</f>
        <v>4.6407185628742518</v>
      </c>
      <c r="R50" s="43">
        <f>IFERROR(VLOOKUP(D50,КУБ!E:G,2,0)," ")</f>
        <v>229082</v>
      </c>
      <c r="S50" s="43">
        <f>VLOOKUP(D50,КУБ!I:O,4,0)</f>
        <v>73151.5</v>
      </c>
      <c r="T50" s="43">
        <f>VLOOKUP(D50,КУБ!I:O,6,0)</f>
        <v>7.01</v>
      </c>
      <c r="U50" s="43">
        <f>VLOOKUP(D50,КУБ!I:O,7,0)/10</f>
        <v>1034.9099999999999</v>
      </c>
      <c r="V50" s="43">
        <f>VLOOKUP(D50,КУБ!I:O,5,0)</f>
        <v>72109.579999999987</v>
      </c>
      <c r="W50" s="44">
        <f>IFERROR(V50/R50,0)</f>
        <v>0.31477628098235561</v>
      </c>
    </row>
    <row r="51" spans="1:23" x14ac:dyDescent="0.25">
      <c r="A51" s="6">
        <v>2022</v>
      </c>
      <c r="B51" s="6" t="s">
        <v>119</v>
      </c>
      <c r="C51" s="13" t="str">
        <f>КУБ!B57</f>
        <v>Каспийск, ул. Ленина 52ж ( ДФ+)</v>
      </c>
      <c r="D51" s="6" t="str">
        <f>VLOOKUP(C51,КУБ!B:C,2,0)</f>
        <v>8080</v>
      </c>
      <c r="E51" s="26">
        <f>IFERROR(VLOOKUP(D51,КУБ!E:G,3,0)," ")</f>
        <v>1250</v>
      </c>
      <c r="F51" s="9">
        <f>E51-J51</f>
        <v>1078</v>
      </c>
      <c r="G51" s="9">
        <f>IFERROR(VLOOKUP(D51,КУБ!I:K,2,0)," ")</f>
        <v>44</v>
      </c>
      <c r="H51" s="9" t="s">
        <v>131</v>
      </c>
      <c r="I51" s="8" t="s">
        <v>131</v>
      </c>
      <c r="J51" s="7">
        <f>IFERROR(VLOOKUP(D51,КУБ!I:K,3,0)," ")</f>
        <v>172</v>
      </c>
      <c r="K51" s="8">
        <f>IFERROR((G51/F51),0)</f>
        <v>4.0816326530612242E-2</v>
      </c>
      <c r="L51" s="8">
        <f>J51/E51</f>
        <v>0.1376</v>
      </c>
      <c r="M51" s="18">
        <f>IFERROR((F51/G51),0)</f>
        <v>24.5</v>
      </c>
      <c r="N51" s="6">
        <f>IFERROR(RANK(G51,$G$11:$G$63)," ")</f>
        <v>32</v>
      </c>
      <c r="O51" s="6">
        <f>IFERROR(RANK(K51,$K$11:$K$63)," ")</f>
        <v>41</v>
      </c>
      <c r="P51" s="6">
        <f>SUM(N51:O51)</f>
        <v>73</v>
      </c>
      <c r="Q51" s="19">
        <f>G51/(F51/100)</f>
        <v>4.0816326530612246</v>
      </c>
      <c r="R51" s="43">
        <f>IFERROR(VLOOKUP(D51,КУБ!E:G,2,0)," ")</f>
        <v>575714</v>
      </c>
      <c r="S51" s="43">
        <f>VLOOKUP(D51,КУБ!I:O,4,0)</f>
        <v>169821</v>
      </c>
      <c r="T51" s="43">
        <f>VLOOKUP(D51,КУБ!I:O,6,0)</f>
        <v>0</v>
      </c>
      <c r="U51" s="43">
        <f>VLOOKUP(D51,КУБ!I:O,7,0)/10</f>
        <v>2683.9700000000003</v>
      </c>
      <c r="V51" s="43">
        <f>VLOOKUP(D51,КУБ!I:O,5,0)</f>
        <v>167137.03</v>
      </c>
      <c r="W51" s="44">
        <f>IFERROR(V51/R51,0)</f>
        <v>0.29031260313280555</v>
      </c>
    </row>
    <row r="52" spans="1:23" x14ac:dyDescent="0.25">
      <c r="A52" s="6">
        <v>2022</v>
      </c>
      <c r="B52" s="6" t="s">
        <v>119</v>
      </c>
      <c r="C52" s="13" t="str">
        <f>КУБ!B40</f>
        <v>Махачкала, ул. Гайдара Гаджиева,14ж/3</v>
      </c>
      <c r="D52" s="6" t="str">
        <f>VLOOKUP(C52,КУБ!B:C,2,0)</f>
        <v>8062</v>
      </c>
      <c r="E52" s="26">
        <f>IFERROR(VLOOKUP(D52,КУБ!E:G,3,0)," ")</f>
        <v>901</v>
      </c>
      <c r="F52" s="9">
        <f>E52-J52</f>
        <v>828</v>
      </c>
      <c r="G52" s="9">
        <f>IFERROR(VLOOKUP(D52,КУБ!I:K,2,0)," ")</f>
        <v>24</v>
      </c>
      <c r="H52" s="9" t="s">
        <v>131</v>
      </c>
      <c r="I52" s="8" t="s">
        <v>131</v>
      </c>
      <c r="J52" s="7">
        <f>IFERROR(VLOOKUP(D52,КУБ!I:K,3,0)," ")</f>
        <v>73</v>
      </c>
      <c r="K52" s="8">
        <f>IFERROR((G52/F52),0)</f>
        <v>2.8985507246376812E-2</v>
      </c>
      <c r="L52" s="8">
        <f>J52/E52</f>
        <v>8.1021087680355167E-2</v>
      </c>
      <c r="M52" s="18">
        <f>IFERROR((F52/G52),0)</f>
        <v>34.5</v>
      </c>
      <c r="N52" s="6">
        <f>IFERROR(RANK(G52,$G$11:$G$63)," ")</f>
        <v>41</v>
      </c>
      <c r="O52" s="6">
        <f>IFERROR(RANK(K52,$K$11:$K$63)," ")</f>
        <v>42</v>
      </c>
      <c r="P52" s="6">
        <f>SUM(N52:O52)</f>
        <v>83</v>
      </c>
      <c r="Q52" s="19">
        <f>G52/(F52/100)</f>
        <v>2.8985507246376816</v>
      </c>
      <c r="R52" s="43">
        <f>IFERROR(VLOOKUP(D52,КУБ!E:G,2,0)," ")</f>
        <v>316141</v>
      </c>
      <c r="S52" s="43">
        <f>VLOOKUP(D52,КУБ!I:O,4,0)</f>
        <v>54640.5</v>
      </c>
      <c r="T52" s="43">
        <f>VLOOKUP(D52,КУБ!I:O,6,0)</f>
        <v>11.03</v>
      </c>
      <c r="U52" s="43">
        <f>VLOOKUP(D52,КУБ!I:O,7,0)/10</f>
        <v>1139.81</v>
      </c>
      <c r="V52" s="43">
        <f>VLOOKUP(D52,КУБ!I:O,5,0)</f>
        <v>53489.659999999996</v>
      </c>
      <c r="W52" s="44">
        <f>IFERROR(V52/R52,0)</f>
        <v>0.16919558045302568</v>
      </c>
    </row>
    <row r="53" spans="1:23" x14ac:dyDescent="0.25">
      <c r="A53" s="6">
        <v>2022</v>
      </c>
      <c r="B53" s="6" t="s">
        <v>119</v>
      </c>
      <c r="C53" s="13" t="str">
        <f>КУБ!B16</f>
        <v>Махачкала, мкр. Караман-7, Федеральное шоссе, 56</v>
      </c>
      <c r="D53" s="6" t="str">
        <f>VLOOKUP(C53,КУБ!B:C,2,0)</f>
        <v>8076</v>
      </c>
      <c r="E53" s="26">
        <f>IFERROR(VLOOKUP(D53,КУБ!E:G,3,0)," ")</f>
        <v>868</v>
      </c>
      <c r="F53" s="9">
        <f>E53-J53</f>
        <v>822</v>
      </c>
      <c r="G53" s="9">
        <f>IFERROR(VLOOKUP(D53,КУБ!I:K,2,0)," ")</f>
        <v>21</v>
      </c>
      <c r="H53" s="9" t="s">
        <v>131</v>
      </c>
      <c r="I53" s="8" t="s">
        <v>131</v>
      </c>
      <c r="J53" s="7">
        <f>IFERROR(VLOOKUP(D53,КУБ!I:K,3,0)," ")</f>
        <v>46</v>
      </c>
      <c r="K53" s="8">
        <f>IFERROR((G53/F53),0)</f>
        <v>2.5547445255474453E-2</v>
      </c>
      <c r="L53" s="8">
        <f>J53/E53</f>
        <v>5.2995391705069124E-2</v>
      </c>
      <c r="M53" s="18">
        <f>IFERROR((F53/G53),0)</f>
        <v>39.142857142857146</v>
      </c>
      <c r="N53" s="6">
        <f>IFERROR(RANK(G53,$G$11:$G$63)," ")</f>
        <v>44</v>
      </c>
      <c r="O53" s="6">
        <f>IFERROR(RANK(K53,$K$11:$K$63)," ")</f>
        <v>43</v>
      </c>
      <c r="P53" s="6">
        <f>SUM(N53:O53)</f>
        <v>87</v>
      </c>
      <c r="Q53" s="19">
        <f>G53/(F53/100)</f>
        <v>2.554744525547445</v>
      </c>
      <c r="R53" s="43">
        <f>IFERROR(VLOOKUP(D53,КУБ!E:G,2,0)," ")</f>
        <v>354462</v>
      </c>
      <c r="S53" s="43">
        <f>VLOOKUP(D53,КУБ!I:O,4,0)</f>
        <v>43246</v>
      </c>
      <c r="T53" s="43">
        <f>VLOOKUP(D53,КУБ!I:O,6,0)</f>
        <v>0</v>
      </c>
      <c r="U53" s="43">
        <f>VLOOKUP(D53,КУБ!I:O,7,0)/10</f>
        <v>177.63</v>
      </c>
      <c r="V53" s="43">
        <f>VLOOKUP(D53,КУБ!I:O,5,0)</f>
        <v>43068.37</v>
      </c>
      <c r="W53" s="44">
        <f>IFERROR(V53/R53,0)</f>
        <v>0.12150348979580322</v>
      </c>
    </row>
    <row r="54" spans="1:23" x14ac:dyDescent="0.25">
      <c r="A54" s="6">
        <v>2022</v>
      </c>
      <c r="B54" s="6" t="s">
        <v>119</v>
      </c>
      <c r="C54" s="13" t="str">
        <f>КУБ!B46</f>
        <v>Махачкала, ул. М.Ярагского, 71</v>
      </c>
      <c r="D54" s="6" t="str">
        <f>VLOOKUP(C54,КУБ!B:C,2,0)</f>
        <v>8019</v>
      </c>
      <c r="E54" s="26">
        <f>IFERROR(VLOOKUP(D54,КУБ!E:G,3,0)," ")</f>
        <v>1568</v>
      </c>
      <c r="F54" s="9">
        <f>E54-J54</f>
        <v>1441</v>
      </c>
      <c r="G54" s="9">
        <f>IFERROR(VLOOKUP(D54,КУБ!I:K,2,0)," ")</f>
        <v>34</v>
      </c>
      <c r="H54" s="9" t="s">
        <v>131</v>
      </c>
      <c r="I54" s="8" t="s">
        <v>131</v>
      </c>
      <c r="J54" s="7">
        <f>IFERROR(VLOOKUP(D54,КУБ!I:K,3,0)," ")</f>
        <v>127</v>
      </c>
      <c r="K54" s="8">
        <f>IFERROR((G54/F54),0)</f>
        <v>2.3594725884802221E-2</v>
      </c>
      <c r="L54" s="8">
        <f>J54/E54</f>
        <v>8.0994897959183673E-2</v>
      </c>
      <c r="M54" s="18">
        <f>IFERROR((F54/G54),0)</f>
        <v>42.382352941176471</v>
      </c>
      <c r="N54" s="6">
        <f>IFERROR(RANK(G54,$G$11:$G$63)," ")</f>
        <v>36</v>
      </c>
      <c r="O54" s="6">
        <f>IFERROR(RANK(K54,$K$11:$K$63)," ")</f>
        <v>44</v>
      </c>
      <c r="P54" s="6">
        <f>SUM(N54:O54)</f>
        <v>80</v>
      </c>
      <c r="Q54" s="19">
        <f>G54/(F54/100)</f>
        <v>2.3594725884802221</v>
      </c>
      <c r="R54" s="43">
        <f>IFERROR(VLOOKUP(D54,КУБ!E:G,2,0)," ")</f>
        <v>808024</v>
      </c>
      <c r="S54" s="43">
        <f>VLOOKUP(D54,КУБ!I:O,4,0)</f>
        <v>178682.5</v>
      </c>
      <c r="T54" s="43">
        <f>VLOOKUP(D54,КУБ!I:O,6,0)</f>
        <v>39</v>
      </c>
      <c r="U54" s="43">
        <f>VLOOKUP(D54,КУБ!I:O,7,0)/10</f>
        <v>1287.6599999999999</v>
      </c>
      <c r="V54" s="43">
        <f>VLOOKUP(D54,КУБ!I:O,5,0)</f>
        <v>177355.84</v>
      </c>
      <c r="W54" s="44">
        <f>IFERROR(V54/R54,0)</f>
        <v>0.21949328237775115</v>
      </c>
    </row>
    <row r="55" spans="1:23" x14ac:dyDescent="0.25">
      <c r="A55" s="6">
        <v>2022</v>
      </c>
      <c r="B55" s="6" t="s">
        <v>119</v>
      </c>
      <c r="C55" s="13" t="str">
        <f>КУБ!B29</f>
        <v>Махачкала, пр. Насрутдинова, 30к (пр. Петра I, 44е)</v>
      </c>
      <c r="D55" s="6" t="str">
        <f>VLOOKUP(C55,КУБ!B:C,2,0)</f>
        <v>8054</v>
      </c>
      <c r="E55" s="26">
        <f>IFERROR(VLOOKUP(D55,КУБ!E:G,3,0)," ")</f>
        <v>788</v>
      </c>
      <c r="F55" s="9">
        <f>E55-J55</f>
        <v>726</v>
      </c>
      <c r="G55" s="9">
        <f>IFERROR(VLOOKUP(D55,КУБ!I:K,2,0)," ")</f>
        <v>16</v>
      </c>
      <c r="H55" s="9" t="s">
        <v>131</v>
      </c>
      <c r="I55" s="8" t="s">
        <v>131</v>
      </c>
      <c r="J55" s="7">
        <f>IFERROR(VLOOKUP(D55,КУБ!I:K,3,0)," ")</f>
        <v>62</v>
      </c>
      <c r="K55" s="8">
        <f>IFERROR((G55/F55),0)</f>
        <v>2.2038567493112948E-2</v>
      </c>
      <c r="L55" s="8">
        <f>J55/E55</f>
        <v>7.8680203045685279E-2</v>
      </c>
      <c r="M55" s="18">
        <f>IFERROR((F55/G55),0)</f>
        <v>45.375</v>
      </c>
      <c r="N55" s="6">
        <f>IFERROR(RANK(G55,$G$11:$G$63)," ")</f>
        <v>46</v>
      </c>
      <c r="O55" s="6">
        <f>IFERROR(RANK(K55,$K$11:$K$63)," ")</f>
        <v>45</v>
      </c>
      <c r="P55" s="6">
        <f>SUM(N55:O55)</f>
        <v>91</v>
      </c>
      <c r="Q55" s="19">
        <f>G55/(F55/100)</f>
        <v>2.2038567493112948</v>
      </c>
      <c r="R55" s="43">
        <f>IFERROR(VLOOKUP(D55,КУБ!E:G,2,0)," ")</f>
        <v>255877</v>
      </c>
      <c r="S55" s="43">
        <f>VLOOKUP(D55,КУБ!I:O,4,0)</f>
        <v>53097</v>
      </c>
      <c r="T55" s="43">
        <f>VLOOKUP(D55,КУБ!I:O,6,0)</f>
        <v>0.03</v>
      </c>
      <c r="U55" s="43">
        <f>VLOOKUP(D55,КУБ!I:O,7,0)/10</f>
        <v>1041.79</v>
      </c>
      <c r="V55" s="43">
        <f>VLOOKUP(D55,КУБ!I:O,5,0)</f>
        <v>52055.18</v>
      </c>
      <c r="W55" s="44">
        <f>IFERROR(V55/R55,0)</f>
        <v>0.2034382926171559</v>
      </c>
    </row>
    <row r="56" spans="1:23" x14ac:dyDescent="0.25">
      <c r="A56" s="6">
        <v>2022</v>
      </c>
      <c r="B56" s="6" t="s">
        <v>119</v>
      </c>
      <c r="C56" s="13" t="str">
        <f>КУБ!B60</f>
        <v>с.Ботлих, ул. Им.Газимагомеда, 48</v>
      </c>
      <c r="D56" s="6" t="str">
        <f>VLOOKUP(C56,КУБ!B:C,2,0)</f>
        <v>8067</v>
      </c>
      <c r="E56" s="26">
        <f>IFERROR(VLOOKUP(D56,КУБ!E:G,3,0)," ")</f>
        <v>584</v>
      </c>
      <c r="F56" s="9">
        <f>E56-J56</f>
        <v>560</v>
      </c>
      <c r="G56" s="9">
        <f>IFERROR(VLOOKUP(D56,КУБ!I:K,2,0)," ")</f>
        <v>12</v>
      </c>
      <c r="H56" s="9" t="s">
        <v>131</v>
      </c>
      <c r="I56" s="8" t="s">
        <v>131</v>
      </c>
      <c r="J56" s="7">
        <f>IFERROR(VLOOKUP(D56,КУБ!I:K,3,0)," ")</f>
        <v>24</v>
      </c>
      <c r="K56" s="8">
        <f>IFERROR((G56/F56),0)</f>
        <v>2.1428571428571429E-2</v>
      </c>
      <c r="L56" s="8">
        <f>J56/E56</f>
        <v>4.1095890410958902E-2</v>
      </c>
      <c r="M56" s="18">
        <f>IFERROR((F56/G56),0)</f>
        <v>46.666666666666664</v>
      </c>
      <c r="N56" s="6">
        <f>IFERROR(RANK(G56,$G$11:$G$63)," ")</f>
        <v>48</v>
      </c>
      <c r="O56" s="6">
        <f>IFERROR(RANK(K56,$K$11:$K$63)," ")</f>
        <v>46</v>
      </c>
      <c r="P56" s="6">
        <f>SUM(N56:O56)</f>
        <v>94</v>
      </c>
      <c r="Q56" s="19">
        <f>G56/(F56/100)</f>
        <v>2.1428571428571428</v>
      </c>
      <c r="R56" s="43">
        <f>IFERROR(VLOOKUP(D56,КУБ!E:G,2,0)," ")</f>
        <v>212906</v>
      </c>
      <c r="S56" s="43">
        <f>VLOOKUP(D56,КУБ!I:O,4,0)</f>
        <v>20754.900000000001</v>
      </c>
      <c r="T56" s="43">
        <f>VLOOKUP(D56,КУБ!I:O,6,0)</f>
        <v>0</v>
      </c>
      <c r="U56" s="43">
        <f>VLOOKUP(D56,КУБ!I:O,7,0)/10</f>
        <v>48.730000000000004</v>
      </c>
      <c r="V56" s="43">
        <f>VLOOKUP(D56,КУБ!I:O,5,0)</f>
        <v>20706.170000000002</v>
      </c>
      <c r="W56" s="44">
        <f>IFERROR(V56/R56,0)</f>
        <v>9.7254985768367275E-2</v>
      </c>
    </row>
    <row r="57" spans="1:23" x14ac:dyDescent="0.25">
      <c r="A57" s="6">
        <v>2022</v>
      </c>
      <c r="B57" s="6" t="s">
        <v>119</v>
      </c>
      <c r="C57" s="13" t="str">
        <f>КУБ!B37</f>
        <v>Махачкала, ул. Айвазовского, 2И (ДФ+)</v>
      </c>
      <c r="D57" s="6" t="str">
        <f>VLOOKUP(C57,КУБ!B:C,2,0)</f>
        <v>8082</v>
      </c>
      <c r="E57" s="26">
        <f>IFERROR(VLOOKUP(D57,КУБ!E:G,3,0)," ")</f>
        <v>5003</v>
      </c>
      <c r="F57" s="9">
        <f>E57-J57</f>
        <v>4874</v>
      </c>
      <c r="G57" s="9">
        <f>IFERROR(VLOOKUP(D57,КУБ!I:K,2,0)," ")</f>
        <v>66</v>
      </c>
      <c r="H57" s="9" t="s">
        <v>131</v>
      </c>
      <c r="I57" s="8" t="s">
        <v>131</v>
      </c>
      <c r="J57" s="7">
        <f>IFERROR(VLOOKUP(D57,КУБ!I:K,3,0)," ")</f>
        <v>129</v>
      </c>
      <c r="K57" s="8">
        <f>IFERROR((G57/F57),0)</f>
        <v>1.3541239228559704E-2</v>
      </c>
      <c r="L57" s="8">
        <f>J57/E57</f>
        <v>2.5784529282430541E-2</v>
      </c>
      <c r="M57" s="18">
        <f>IFERROR((F57/G57),0)</f>
        <v>73.848484848484844</v>
      </c>
      <c r="N57" s="6">
        <f>IFERROR(RANK(G57,$G$11:$G$63)," ")</f>
        <v>25</v>
      </c>
      <c r="O57" s="6">
        <f>IFERROR(RANK(K57,$K$11:$K$63)," ")</f>
        <v>47</v>
      </c>
      <c r="P57" s="6">
        <f>SUM(N57:O57)</f>
        <v>72</v>
      </c>
      <c r="Q57" s="19">
        <f>G57/(F57/100)</f>
        <v>1.3541239228559705</v>
      </c>
      <c r="R57" s="43">
        <f>IFERROR(VLOOKUP(D57,КУБ!E:G,2,0)," ")</f>
        <v>3751185</v>
      </c>
      <c r="S57" s="43">
        <f>VLOOKUP(D57,КУБ!I:O,4,0)</f>
        <v>330374.5</v>
      </c>
      <c r="T57" s="43">
        <f>VLOOKUP(D57,КУБ!I:O,6,0)</f>
        <v>67</v>
      </c>
      <c r="U57" s="43">
        <f>VLOOKUP(D57,КУБ!I:O,7,0)/10</f>
        <v>525.51</v>
      </c>
      <c r="V57" s="43">
        <f>VLOOKUP(D57,КУБ!I:O,5,0)</f>
        <v>329781.99</v>
      </c>
      <c r="W57" s="44">
        <f>IFERROR(V57/R57,0)</f>
        <v>8.7914083149724681E-2</v>
      </c>
    </row>
    <row r="58" spans="1:23" x14ac:dyDescent="0.25">
      <c r="A58" s="6">
        <v>2022</v>
      </c>
      <c r="B58" s="6" t="s">
        <v>119</v>
      </c>
      <c r="C58" s="13" t="str">
        <f>КУБ!B42</f>
        <v>Махачкала, ул. Каммаева, 4Б (Каммаева, 14)</v>
      </c>
      <c r="D58" s="6" t="str">
        <f>VLOOKUP(C58,КУБ!B:C,2,0)</f>
        <v>8011</v>
      </c>
      <c r="E58" s="26">
        <f>IFERROR(VLOOKUP(D58,КУБ!E:G,3,0)," ")</f>
        <v>1073</v>
      </c>
      <c r="F58" s="9">
        <f>E58-J58</f>
        <v>1051</v>
      </c>
      <c r="G58" s="9">
        <f>IFERROR(VLOOKUP(D58,КУБ!I:K,2,0)," ")</f>
        <v>8</v>
      </c>
      <c r="H58" s="9" t="s">
        <v>131</v>
      </c>
      <c r="I58" s="8" t="s">
        <v>131</v>
      </c>
      <c r="J58" s="7">
        <f>IFERROR(VLOOKUP(D58,КУБ!I:K,3,0)," ")</f>
        <v>22</v>
      </c>
      <c r="K58" s="8">
        <f>IFERROR((G58/F58),0)</f>
        <v>7.6117982873453857E-3</v>
      </c>
      <c r="L58" s="8">
        <f>J58/E58</f>
        <v>2.0503261882572229E-2</v>
      </c>
      <c r="M58" s="18">
        <f>IFERROR((F58/G58),0)</f>
        <v>131.375</v>
      </c>
      <c r="N58" s="6">
        <f>IFERROR(RANK(G58,$G$11:$G$63)," ")</f>
        <v>49</v>
      </c>
      <c r="O58" s="6">
        <f>IFERROR(RANK(K58,$K$11:$K$63)," ")</f>
        <v>48</v>
      </c>
      <c r="P58" s="6">
        <f>SUM(N58:O58)</f>
        <v>97</v>
      </c>
      <c r="Q58" s="19">
        <f>G58/(F58/100)</f>
        <v>0.7611798287345386</v>
      </c>
      <c r="R58" s="43">
        <f>IFERROR(VLOOKUP(D58,КУБ!E:G,2,0)," ")</f>
        <v>503014</v>
      </c>
      <c r="S58" s="43">
        <f>VLOOKUP(D58,КУБ!I:O,4,0)</f>
        <v>23259</v>
      </c>
      <c r="T58" s="43">
        <f>VLOOKUP(D58,КУБ!I:O,6,0)</f>
        <v>6</v>
      </c>
      <c r="U58" s="43">
        <f>VLOOKUP(D58,КУБ!I:O,7,0)/10</f>
        <v>386.37</v>
      </c>
      <c r="V58" s="43">
        <f>VLOOKUP(D58,КУБ!I:O,5,0)</f>
        <v>22866.63</v>
      </c>
      <c r="W58" s="44">
        <f>IFERROR(V58/R58,0)</f>
        <v>4.5459231751004942E-2</v>
      </c>
    </row>
    <row r="59" spans="1:23" x14ac:dyDescent="0.25">
      <c r="A59" s="6">
        <v>2022</v>
      </c>
      <c r="B59" s="6" t="s">
        <v>119</v>
      </c>
      <c r="C59" s="13" t="str">
        <f>КУБ!B12</f>
        <v>Каспийск, ул. Каспийская, 6 А</v>
      </c>
      <c r="D59" s="6" t="str">
        <f>VLOOKUP(C59,КУБ!B:C,2,0)</f>
        <v>8004</v>
      </c>
      <c r="E59" s="26">
        <f>IFERROR(VLOOKUP(D59,КУБ!E:G,3,0)," ")</f>
        <v>1086</v>
      </c>
      <c r="F59" s="9">
        <f>E59-J59</f>
        <v>1063</v>
      </c>
      <c r="G59" s="9">
        <f>IFERROR(VLOOKUP(D59,КУБ!I:K,2,0)," ")</f>
        <v>5</v>
      </c>
      <c r="H59" s="9" t="s">
        <v>131</v>
      </c>
      <c r="I59" s="8" t="s">
        <v>131</v>
      </c>
      <c r="J59" s="7">
        <f>IFERROR(VLOOKUP(D59,КУБ!I:K,3,0)," ")</f>
        <v>23</v>
      </c>
      <c r="K59" s="8">
        <f>IFERROR((G59/F59),0)</f>
        <v>4.7036688617121351E-3</v>
      </c>
      <c r="L59" s="8">
        <f>J59/E59</f>
        <v>2.117863720073665E-2</v>
      </c>
      <c r="M59" s="18">
        <f>IFERROR((F59/G59),0)</f>
        <v>212.6</v>
      </c>
      <c r="N59" s="6">
        <f>IFERROR(RANK(G59,$G$11:$G$63)," ")</f>
        <v>50</v>
      </c>
      <c r="O59" s="6">
        <f>IFERROR(RANK(K59,$K$11:$K$63)," ")</f>
        <v>49</v>
      </c>
      <c r="P59" s="6">
        <f>SUM(N59:O59)</f>
        <v>99</v>
      </c>
      <c r="Q59" s="19">
        <f>G59/(F59/100)</f>
        <v>0.47036688617121353</v>
      </c>
      <c r="R59" s="43">
        <f>IFERROR(VLOOKUP(D59,КУБ!E:G,2,0)," ")</f>
        <v>389248</v>
      </c>
      <c r="S59" s="43">
        <f>VLOOKUP(D59,КУБ!I:O,4,0)</f>
        <v>14238.5</v>
      </c>
      <c r="T59" s="43">
        <f>VLOOKUP(D59,КУБ!I:O,6,0)</f>
        <v>0</v>
      </c>
      <c r="U59" s="43">
        <f>VLOOKUP(D59,КУБ!I:O,7,0)/10</f>
        <v>827.55</v>
      </c>
      <c r="V59" s="43">
        <f>VLOOKUP(D59,КУБ!I:O,5,0)</f>
        <v>13410.95</v>
      </c>
      <c r="W59" s="44">
        <f>IFERROR(V59/R59,0)</f>
        <v>3.445348466787241E-2</v>
      </c>
    </row>
    <row r="60" spans="1:23" x14ac:dyDescent="0.25">
      <c r="A60" s="25">
        <v>2022</v>
      </c>
      <c r="B60" s="25" t="s">
        <v>119</v>
      </c>
      <c r="C60" s="38" t="str">
        <f>КУБ!B58</f>
        <v>Махачкала, ул. Юсупова, 55</v>
      </c>
      <c r="D60" s="25" t="str">
        <f>VLOOKUP(C60,КУБ!B:C,2,0)</f>
        <v>8000</v>
      </c>
      <c r="E60" s="26">
        <f>IFERROR(VLOOKUP(D60,КУБ!E:G,3,0)," ")</f>
        <v>869</v>
      </c>
      <c r="F60" s="9">
        <f>E60-J60</f>
        <v>856</v>
      </c>
      <c r="G60" s="9">
        <f>IFERROR(VLOOKUP(D60,КУБ!I:K,2,0)," ")</f>
        <v>3</v>
      </c>
      <c r="H60" s="9" t="s">
        <v>131</v>
      </c>
      <c r="I60" s="8" t="s">
        <v>131</v>
      </c>
      <c r="J60" s="7">
        <f>IFERROR(VLOOKUP(D60,КУБ!I:K,3,0)," ")</f>
        <v>13</v>
      </c>
      <c r="K60" s="8">
        <f>IFERROR((G60/F60),0)</f>
        <v>3.5046728971962616E-3</v>
      </c>
      <c r="L60" s="8">
        <f>J60/E60</f>
        <v>1.4959723820483314E-2</v>
      </c>
      <c r="M60" s="18">
        <f>IFERROR((F60/G60),0)</f>
        <v>285.33333333333331</v>
      </c>
      <c r="N60" s="6">
        <f>IFERROR(RANK(G60,$G$11:$G$63)," ")</f>
        <v>51</v>
      </c>
      <c r="O60" s="6">
        <f>IFERROR(RANK(K60,$K$11:$K$63)," ")</f>
        <v>50</v>
      </c>
      <c r="P60" s="6">
        <f>SUM(N60:O60)</f>
        <v>101</v>
      </c>
      <c r="Q60" s="19">
        <f>G60/(F60/100)</f>
        <v>0.35046728971962615</v>
      </c>
      <c r="R60" s="43">
        <f>IFERROR(VLOOKUP(D60,КУБ!E:G,2,0)," ")</f>
        <v>396599</v>
      </c>
      <c r="S60" s="43">
        <f>VLOOKUP(D60,КУБ!I:O,4,0)</f>
        <v>12935</v>
      </c>
      <c r="T60" s="43">
        <f>VLOOKUP(D60,КУБ!I:O,6,0)</f>
        <v>13.01</v>
      </c>
      <c r="U60" s="43">
        <f>VLOOKUP(D60,КУБ!I:O,7,0)/10</f>
        <v>275.52</v>
      </c>
      <c r="V60" s="43">
        <f>VLOOKUP(D60,КУБ!I:O,5,0)</f>
        <v>12646.47</v>
      </c>
      <c r="W60" s="44">
        <f>IFERROR(V60/R60,0)</f>
        <v>3.1887296740536412E-2</v>
      </c>
    </row>
    <row r="61" spans="1:23" x14ac:dyDescent="0.25">
      <c r="A61" s="6">
        <v>2022</v>
      </c>
      <c r="B61" s="6" t="s">
        <v>119</v>
      </c>
      <c r="C61" s="39" t="str">
        <f>КУБ!B44</f>
        <v>Махачкала, ул. М.Гаджиева, 194</v>
      </c>
      <c r="D61" s="6" t="str">
        <f>VLOOKUP(C61,КУБ!B:C,2,0)</f>
        <v>8012</v>
      </c>
      <c r="E61" s="26">
        <f>IFERROR(VLOOKUP(D61,КУБ!E:G,3,0)," ")</f>
        <v>531</v>
      </c>
      <c r="F61" s="9">
        <f>E61-J61</f>
        <v>514</v>
      </c>
      <c r="G61" s="9">
        <f>IFERROR(VLOOKUP(D61,КУБ!I:K,2,0)," ")</f>
        <v>1</v>
      </c>
      <c r="H61" s="9" t="s">
        <v>131</v>
      </c>
      <c r="I61" s="8" t="s">
        <v>131</v>
      </c>
      <c r="J61" s="7">
        <f>IFERROR(VLOOKUP(D61,КУБ!I:K,3,0)," ")</f>
        <v>17</v>
      </c>
      <c r="K61" s="8">
        <f>IFERROR((G61/F61),0)</f>
        <v>1.9455252918287938E-3</v>
      </c>
      <c r="L61" s="8">
        <f>J61/E61</f>
        <v>3.2015065913370999E-2</v>
      </c>
      <c r="M61" s="18">
        <f>IFERROR((F61/G61),0)</f>
        <v>514</v>
      </c>
      <c r="N61" s="6">
        <f>IFERROR(RANK(G61,$G$11:$G$63)," ")</f>
        <v>52</v>
      </c>
      <c r="O61" s="6">
        <f>IFERROR(RANK(K61,$K$11:$K$63)," ")</f>
        <v>51</v>
      </c>
      <c r="P61" s="6">
        <f>SUM(N61:O61)</f>
        <v>103</v>
      </c>
      <c r="Q61" s="19">
        <f>G61/(F61/100)</f>
        <v>0.19455252918287938</v>
      </c>
      <c r="R61" s="43">
        <f>IFERROR(VLOOKUP(D61,КУБ!E:G,2,0)," ")</f>
        <v>196043</v>
      </c>
      <c r="S61" s="43">
        <f>VLOOKUP(D61,КУБ!I:O,4,0)</f>
        <v>12837</v>
      </c>
      <c r="T61" s="43">
        <f>VLOOKUP(D61,КУБ!I:O,6,0)</f>
        <v>5</v>
      </c>
      <c r="U61" s="43">
        <f>VLOOKUP(D61,КУБ!I:O,7,0)/10</f>
        <v>306.58000000000004</v>
      </c>
      <c r="V61" s="43">
        <f>VLOOKUP(D61,КУБ!I:O,5,0)</f>
        <v>12525.42</v>
      </c>
      <c r="W61" s="44">
        <f>IFERROR(V61/R61,0)</f>
        <v>6.3891187137515751E-2</v>
      </c>
    </row>
    <row r="62" spans="1:23" x14ac:dyDescent="0.25">
      <c r="A62" s="6">
        <v>2022</v>
      </c>
      <c r="B62" s="31" t="s">
        <v>119</v>
      </c>
      <c r="C62" s="13" t="str">
        <f>КУБ!B59</f>
        <v>с. Новокаякент, ул. У.Джабраиловой, д.  (ул. Новая, 32)</v>
      </c>
      <c r="D62" s="32" t="str">
        <f>VLOOKUP(C62,КУБ!B:C,2,0)</f>
        <v>8058</v>
      </c>
      <c r="E62" s="26">
        <f>IFERROR(VLOOKUP(D62,КУБ!E:G,3,0)," ")</f>
        <v>245</v>
      </c>
      <c r="F62" s="9">
        <f>E62-J62</f>
        <v>240</v>
      </c>
      <c r="G62" s="9">
        <f>IFERROR(VLOOKUP(D62,КУБ!I:K,2,0)," ")</f>
        <v>0</v>
      </c>
      <c r="H62" s="9" t="s">
        <v>131</v>
      </c>
      <c r="I62" s="8" t="s">
        <v>131</v>
      </c>
      <c r="J62" s="7">
        <f>IFERROR(VLOOKUP(D62,КУБ!I:K,3,0)," ")</f>
        <v>5</v>
      </c>
      <c r="K62" s="8">
        <f>IFERROR((G62/F62),0)</f>
        <v>0</v>
      </c>
      <c r="L62" s="8">
        <f>J62/E62</f>
        <v>2.0408163265306121E-2</v>
      </c>
      <c r="M62" s="18">
        <f>IFERROR((F62/G62),0)</f>
        <v>0</v>
      </c>
      <c r="N62" s="6">
        <f>IFERROR(RANK(G62,$G$11:$G$63)," ")</f>
        <v>53</v>
      </c>
      <c r="O62" s="6">
        <f>IFERROR(RANK(K62,$K$11:$K$63)," ")</f>
        <v>52</v>
      </c>
      <c r="P62" s="6">
        <f>SUM(N62:O62)</f>
        <v>105</v>
      </c>
      <c r="Q62" s="19">
        <f>G62/(F62/100)</f>
        <v>0</v>
      </c>
      <c r="R62" s="43">
        <f>IFERROR(VLOOKUP(D62,КУБ!E:G,2,0)," ")</f>
        <v>153737</v>
      </c>
      <c r="S62" s="43">
        <f>VLOOKUP(D62,КУБ!I:O,4,0)</f>
        <v>8631</v>
      </c>
      <c r="T62" s="43">
        <f>VLOOKUP(D62,КУБ!I:O,6,0)</f>
        <v>0</v>
      </c>
      <c r="U62" s="43">
        <f>VLOOKUP(D62,КУБ!I:O,7,0)/10</f>
        <v>0</v>
      </c>
      <c r="V62" s="43">
        <f>VLOOKUP(D62,КУБ!I:O,5,0)</f>
        <v>8631</v>
      </c>
      <c r="W62" s="44">
        <f>IFERROR(V62/R62,0)</f>
        <v>5.6141332275249291E-2</v>
      </c>
    </row>
    <row r="63" spans="1:23" x14ac:dyDescent="0.25">
      <c r="A63" s="6">
        <v>2022</v>
      </c>
      <c r="B63" s="6" t="s">
        <v>119</v>
      </c>
      <c r="C63" s="54" t="str">
        <f>КУБ!B49</f>
        <v>Махачкала, ул. О.Кошевого, 37</v>
      </c>
      <c r="D63" s="32" t="str">
        <f>VLOOKUP(C63,КУБ!B:C,2,0)</f>
        <v>8017</v>
      </c>
      <c r="E63" s="26">
        <f>IFERROR(VLOOKUP(D63,КУБ!E:G,3,0)," ")</f>
        <v>439</v>
      </c>
      <c r="F63" s="9">
        <f>E63-J63</f>
        <v>-14</v>
      </c>
      <c r="G63" s="9">
        <f>IFERROR(VLOOKUP(D63,КУБ!I:K,2,0)," ")</f>
        <v>121</v>
      </c>
      <c r="H63" s="9" t="s">
        <v>131</v>
      </c>
      <c r="I63" s="8" t="s">
        <v>131</v>
      </c>
      <c r="J63" s="7">
        <f>IFERROR(VLOOKUP(D63,КУБ!I:K,3,0)," ")</f>
        <v>453</v>
      </c>
      <c r="K63" s="8">
        <f>IFERROR((G63/F63),0)</f>
        <v>-8.6428571428571423</v>
      </c>
      <c r="L63" s="8">
        <f>J63/E63</f>
        <v>1.0318906605922551</v>
      </c>
      <c r="M63" s="18">
        <f>IFERROR((F63/G63),0)</f>
        <v>-0.11570247933884298</v>
      </c>
      <c r="N63" s="6">
        <f>IFERROR(RANK(G63,$G$11:$G$63)," ")</f>
        <v>12</v>
      </c>
      <c r="O63" s="6">
        <f>IFERROR(RANK(K63,$K$11:$K$63)," ")</f>
        <v>53</v>
      </c>
      <c r="P63" s="6">
        <f>SUM(N63:O63)</f>
        <v>65</v>
      </c>
      <c r="Q63" s="19">
        <f>G63/(F63/100)</f>
        <v>-864.28571428571422</v>
      </c>
      <c r="R63" s="43">
        <f>IFERROR(VLOOKUP(D63,КУБ!E:G,2,0)," ")</f>
        <v>131739</v>
      </c>
      <c r="S63" s="43">
        <f>VLOOKUP(D63,КУБ!I:O,4,0)</f>
        <v>251179.5</v>
      </c>
      <c r="T63" s="43">
        <f>VLOOKUP(D63,КУБ!I:O,6,0)</f>
        <v>91</v>
      </c>
      <c r="U63" s="43">
        <f>VLOOKUP(D63,КУБ!I:O,7,0)/10</f>
        <v>3820.9200000000028</v>
      </c>
      <c r="V63" s="43">
        <f>VLOOKUP(D63,КУБ!I:O,5,0)</f>
        <v>247267.58</v>
      </c>
      <c r="W63" s="44">
        <f>IFERROR(V63/R63,0)</f>
        <v>1.8769504854295234</v>
      </c>
    </row>
  </sheetData>
  <autoFilter ref="A10:W63" xr:uid="{00000000-0009-0000-0000-000001000000}">
    <sortState ref="A11:W63">
      <sortCondition descending="1" ref="Q10:Q63"/>
    </sortState>
  </autoFilter>
  <sortState ref="A5:Q22">
    <sortCondition ref="P5:P22"/>
  </sortState>
  <mergeCells count="1">
    <mergeCell ref="A9:D9"/>
  </mergeCells>
  <conditionalFormatting sqref="Q11:Q63">
    <cfRule type="cellIs" dxfId="5" priority="7" operator="lessThan">
      <formula>9.7</formula>
    </cfRule>
  </conditionalFormatting>
  <conditionalFormatting sqref="C11:C62">
    <cfRule type="duplicateValues" dxfId="4" priority="29"/>
    <cfRule type="duplicateValues" dxfId="3" priority="30"/>
  </conditionalFormatting>
  <conditionalFormatting sqref="N11:N63">
    <cfRule type="colorScale" priority="33">
      <colorScale>
        <cfvo type="min"/>
        <cfvo type="percentile" val="50"/>
        <cfvo type="max"/>
        <color theme="9" tint="0.39997558519241921"/>
        <color rgb="FFFFEB84"/>
        <color rgb="FFFF8181"/>
      </colorScale>
    </cfRule>
  </conditionalFormatting>
  <conditionalFormatting sqref="O11:O63">
    <cfRule type="colorScale" priority="35">
      <colorScale>
        <cfvo type="min"/>
        <cfvo type="percentile" val="50"/>
        <cfvo type="max"/>
        <color theme="9" tint="0.39997558519241921"/>
        <color rgb="FFFFEB84"/>
        <color rgb="FFFF8181"/>
      </colorScale>
    </cfRule>
  </conditionalFormatting>
  <conditionalFormatting sqref="P11:P63">
    <cfRule type="colorScale" priority="37">
      <colorScale>
        <cfvo type="min"/>
        <cfvo type="percentile" val="50"/>
        <cfvo type="max"/>
        <color theme="9" tint="0.39997558519241921"/>
        <color rgb="FFFFEB84"/>
        <color rgb="FFFF8181"/>
      </colorScale>
    </cfRule>
  </conditionalFormatting>
  <conditionalFormatting sqref="Q9">
    <cfRule type="cellIs" dxfId="2" priority="6" operator="lessThan">
      <formula>9.7</formula>
    </cfRule>
  </conditionalFormatting>
  <conditionalFormatting sqref="C63">
    <cfRule type="duplicateValues" dxfId="1" priority="4"/>
    <cfRule type="duplicateValues" dxfId="0" priority="5"/>
  </conditionalFormatting>
  <conditionalFormatting sqref="L11:L6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1:W6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КУБ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Старкова</dc:creator>
  <cp:lastModifiedBy>Наталья Боднева</cp:lastModifiedBy>
  <dcterms:created xsi:type="dcterms:W3CDTF">2022-06-15T09:24:13Z</dcterms:created>
  <dcterms:modified xsi:type="dcterms:W3CDTF">2022-10-04T04:59:47Z</dcterms:modified>
</cp:coreProperties>
</file>